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56" yWindow="135" windowWidth="9720" windowHeight="7320" activeTab="0"/>
  </bookViews>
  <sheets>
    <sheet name="tabuľka 1" sheetId="1" r:id="rId1"/>
    <sheet name="tabuľka 2" sheetId="2" r:id="rId2"/>
    <sheet name="tabuľka 3" sheetId="3" r:id="rId3"/>
    <sheet name="tabuľka 4" sheetId="4" r:id="rId4"/>
    <sheet name="tabuľka 5" sheetId="5" r:id="rId5"/>
    <sheet name="tabuľky 6 a 7" sheetId="6" r:id="rId6"/>
    <sheet name="tabuľka 8" sheetId="7" r:id="rId7"/>
    <sheet name="tabuľka 9" sheetId="8" r:id="rId8"/>
    <sheet name="tabuľka 10" sheetId="9" r:id="rId9"/>
  </sheets>
  <externalReferences>
    <externalReference r:id="rId12"/>
  </externalReferences>
  <definedNames>
    <definedName name="_FiltrDatabáze" localSheetId="5" hidden="1">'[1]Hárok1'!$B$3:$C$50</definedName>
  </definedNames>
  <calcPr fullCalcOnLoad="1"/>
</workbook>
</file>

<file path=xl/sharedStrings.xml><?xml version="1.0" encoding="utf-8"?>
<sst xmlns="http://schemas.openxmlformats.org/spreadsheetml/2006/main" count="366" uniqueCount="229">
  <si>
    <t>Tabuľka 1</t>
  </si>
  <si>
    <t>Inšpektorát
pre kraj</t>
  </si>
  <si>
    <t>Počet
kontrolovaných
prevádzkarní</t>
  </si>
  <si>
    <t>Počet
kontrolných
nákupov</t>
  </si>
  <si>
    <t>Počet
predražených
nákupov</t>
  </si>
  <si>
    <t>Podiel
predražených
nákupov v %</t>
  </si>
  <si>
    <t>Bratislavský</t>
  </si>
  <si>
    <t>Trnavský</t>
  </si>
  <si>
    <t>Trenčiansky</t>
  </si>
  <si>
    <t>Nitriansky</t>
  </si>
  <si>
    <t>Žilinský</t>
  </si>
  <si>
    <t>Banskobystrický</t>
  </si>
  <si>
    <t>Prešovský</t>
  </si>
  <si>
    <t>Košický</t>
  </si>
  <si>
    <t xml:space="preserve">            rok 2008</t>
  </si>
  <si>
    <t>Spolu rok 2009</t>
  </si>
  <si>
    <t xml:space="preserve">                         Výsledky kontrolnej činnosti SOI za rok  2009</t>
  </si>
  <si>
    <r>
      <t xml:space="preserve">Miera
predraženia
na 100 </t>
    </r>
    <r>
      <rPr>
        <sz val="10"/>
        <rFont val="Arial"/>
        <family val="0"/>
      </rPr>
      <t>€</t>
    </r>
  </si>
  <si>
    <t>Hodnota
pozastaveného
tovaru v €</t>
  </si>
  <si>
    <t>Prehľad kontrolovaného sortimentu za rok 2009</t>
  </si>
  <si>
    <t xml:space="preserve">     podľa územnosprávneho usporiadania SR</t>
  </si>
  <si>
    <t xml:space="preserve"> </t>
  </si>
  <si>
    <t>Tabuľka  2</t>
  </si>
  <si>
    <t xml:space="preserve">             Kraj</t>
  </si>
  <si>
    <t xml:space="preserve"> Trnavský</t>
  </si>
  <si>
    <t xml:space="preserve"> Trenčiansky</t>
  </si>
  <si>
    <t xml:space="preserve">  Nitriansky</t>
  </si>
  <si>
    <t xml:space="preserve"> Žilinský</t>
  </si>
  <si>
    <t xml:space="preserve">  Prešovský</t>
  </si>
  <si>
    <t xml:space="preserve"> Košický</t>
  </si>
  <si>
    <t xml:space="preserve">        Spolu</t>
  </si>
  <si>
    <t>Sortiment</t>
  </si>
  <si>
    <t>Počet</t>
  </si>
  <si>
    <t xml:space="preserve">   v %</t>
  </si>
  <si>
    <t xml:space="preserve">    v %</t>
  </si>
  <si>
    <t xml:space="preserve">       v % </t>
  </si>
  <si>
    <t xml:space="preserve">  v %</t>
  </si>
  <si>
    <t>Potravinársky tovar</t>
  </si>
  <si>
    <t>Rozličný tovar</t>
  </si>
  <si>
    <t>Nepotravinársky tovar</t>
  </si>
  <si>
    <t>Pohostinské zariadenia</t>
  </si>
  <si>
    <t>Ubytovacie zariadenia</t>
  </si>
  <si>
    <t>Cestovné kancelárie</t>
  </si>
  <si>
    <t>Služby</t>
  </si>
  <si>
    <t>Spolu:</t>
  </si>
  <si>
    <t xml:space="preserve">           Prehľad o pozastavenom tovare za rok 2009</t>
  </si>
  <si>
    <t>Tabuľka 3</t>
  </si>
  <si>
    <t>Dôvod</t>
  </si>
  <si>
    <t>Tuzemsko</t>
  </si>
  <si>
    <t>Členské štáty EÚ</t>
  </si>
  <si>
    <t>Dovoz mimo EÚ</t>
  </si>
  <si>
    <t>Neznámy pôvod</t>
  </si>
  <si>
    <t>S p o l u</t>
  </si>
  <si>
    <t>Počet druhov</t>
  </si>
  <si>
    <t xml:space="preserve">Hodnota €   </t>
  </si>
  <si>
    <t xml:space="preserve">Hodnota €     </t>
  </si>
  <si>
    <t>Podiel        v %</t>
  </si>
  <si>
    <t>Návody na údržbu</t>
  </si>
  <si>
    <t>Označovanie</t>
  </si>
  <si>
    <t>Vyhlásenie o zhode</t>
  </si>
  <si>
    <t>Doba spotreby</t>
  </si>
  <si>
    <t>Nebezpečné výrobky</t>
  </si>
  <si>
    <t>Označovanie CE</t>
  </si>
  <si>
    <t>Kvalita</t>
  </si>
  <si>
    <t>C e l ko m</t>
  </si>
  <si>
    <t>-</t>
  </si>
  <si>
    <t xml:space="preserve">Výsledky kontrolnej činnosti SOI za 2009 </t>
  </si>
  <si>
    <t>Podľa sortimentných skupín - nepotraviny</t>
  </si>
  <si>
    <t>Tabuľka 4</t>
  </si>
  <si>
    <t>Počet kontrolo- vaných prevádz-kární</t>
  </si>
  <si>
    <t xml:space="preserve">                 Pozastavený predaj tovaru za zistené nedostatky</t>
  </si>
  <si>
    <t xml:space="preserve">        Tuzemsko</t>
  </si>
  <si>
    <t>Členské krajiny EÚ</t>
  </si>
  <si>
    <t>Podiel v %</t>
  </si>
  <si>
    <t>Určené výrobky - Smernica NP</t>
  </si>
  <si>
    <t>Elektrovýrobky</t>
  </si>
  <si>
    <t>Strojná technika</t>
  </si>
  <si>
    <t>$</t>
  </si>
  <si>
    <t>Stavebný materiál</t>
  </si>
  <si>
    <t>Hračky</t>
  </si>
  <si>
    <t>Osobné ochranné prostriedky</t>
  </si>
  <si>
    <t>Spotrebná elektronika</t>
  </si>
  <si>
    <t>Spolu</t>
  </si>
  <si>
    <t>Určené výrobky - Smernica SP</t>
  </si>
  <si>
    <t>Pyrotechnické výrobky</t>
  </si>
  <si>
    <t>Určené výrobky spolu</t>
  </si>
  <si>
    <t>Neurčené výrobky</t>
  </si>
  <si>
    <t>Motorové vozidlá a náhr. diely</t>
  </si>
  <si>
    <t>Textil a odevy</t>
  </si>
  <si>
    <t>Obuv</t>
  </si>
  <si>
    <t>Nábytok</t>
  </si>
  <si>
    <t>Železiarstvo</t>
  </si>
  <si>
    <t>Kuchynské potreby</t>
  </si>
  <si>
    <t>Športové potreby</t>
  </si>
  <si>
    <t>Chemické látky a prípravky</t>
  </si>
  <si>
    <t>Ostatný tovar</t>
  </si>
  <si>
    <r>
      <t xml:space="preserve">Hodnota v </t>
    </r>
    <r>
      <rPr>
        <sz val="9"/>
        <rFont val="Arial"/>
        <family val="0"/>
      </rPr>
      <t>€</t>
    </r>
  </si>
  <si>
    <r>
      <t xml:space="preserve"> Hodnota v </t>
    </r>
    <r>
      <rPr>
        <sz val="9"/>
        <rFont val="Arial"/>
        <family val="0"/>
      </rPr>
      <t>€</t>
    </r>
  </si>
  <si>
    <t>Vzorky odobraté a hodnotené v roku  2009</t>
  </si>
  <si>
    <t>Tabuľka 5</t>
  </si>
  <si>
    <t>Druh vzorky</t>
  </si>
  <si>
    <t xml:space="preserve">Odobraté vzorky     </t>
  </si>
  <si>
    <t>Vyhodnotené vzorky*</t>
  </si>
  <si>
    <t>Vyhovujúce vzorky</t>
  </si>
  <si>
    <t xml:space="preserve">        Nevyhovujúce vzorky</t>
  </si>
  <si>
    <t>Hodnotenie vykonala AO</t>
  </si>
  <si>
    <t>počet</t>
  </si>
  <si>
    <t>v %</t>
  </si>
  <si>
    <t>dôvod</t>
  </si>
  <si>
    <t>bezpečnosť</t>
  </si>
  <si>
    <t>zhoda</t>
  </si>
  <si>
    <t>iné</t>
  </si>
  <si>
    <t>Určené výrobky -Smernice NP</t>
  </si>
  <si>
    <t>strojné zariadenia</t>
  </si>
  <si>
    <t xml:space="preserve"> - </t>
  </si>
  <si>
    <t xml:space="preserve"> -</t>
  </si>
  <si>
    <t>elektro výrobky</t>
  </si>
  <si>
    <t>101;104;171</t>
  </si>
  <si>
    <t>hračky</t>
  </si>
  <si>
    <t>104,Labeko, BellNovamann</t>
  </si>
  <si>
    <t>osobné ochranné prostriedky</t>
  </si>
  <si>
    <t>SZÚ Brno</t>
  </si>
  <si>
    <t>tlakové nádoby</t>
  </si>
  <si>
    <t>Spolu určené výrobky</t>
  </si>
  <si>
    <t>Neurčené výrobky - všeobecná bezpečnosť</t>
  </si>
  <si>
    <t>detské kočíky - chodúľky</t>
  </si>
  <si>
    <t>textilné výrobky</t>
  </si>
  <si>
    <t>bicykle, kolobežky</t>
  </si>
  <si>
    <t>nábytok</t>
  </si>
  <si>
    <t>rebríky</t>
  </si>
  <si>
    <t>kanistre</t>
  </si>
  <si>
    <t>dekoračné predmety</t>
  </si>
  <si>
    <t>104, Sklársky ústav ČR</t>
  </si>
  <si>
    <t>obuv</t>
  </si>
  <si>
    <t>bižutéria</t>
  </si>
  <si>
    <t>sviečky</t>
  </si>
  <si>
    <t>BellNovamann</t>
  </si>
  <si>
    <t>biocídne výrobky</t>
  </si>
  <si>
    <t xml:space="preserve">  -</t>
  </si>
  <si>
    <t>I-SOI Bratislava</t>
  </si>
  <si>
    <t>ručné náradie</t>
  </si>
  <si>
    <t>Spolu neurčené výrobky</t>
  </si>
  <si>
    <t>S P O L U</t>
  </si>
  <si>
    <t>I -SOI BA - inšpektorát SOI pre Bratislavský kraj</t>
  </si>
  <si>
    <t>SZÚ Brno - Strojírenský zkušební ústav, Brno</t>
  </si>
  <si>
    <r>
      <t>Poznámka:</t>
    </r>
    <r>
      <rPr>
        <sz val="10"/>
        <rFont val="Arial CE"/>
        <family val="0"/>
      </rPr>
      <t xml:space="preserve"> * do vyhodnotených vzoriek sú zahrnuté aj vzorky, ktoré boli odobraté v r. 2008</t>
    </r>
  </si>
  <si>
    <t xml:space="preserve">      Prehľad sťažností, podnetov a oznámení  za rok 2009</t>
  </si>
  <si>
    <t>Tabuľka 6</t>
  </si>
  <si>
    <t xml:space="preserve">                                                                                                         </t>
  </si>
  <si>
    <t xml:space="preserve">Inšpektorát </t>
  </si>
  <si>
    <t>prijaté</t>
  </si>
  <si>
    <t xml:space="preserve">        z toho</t>
  </si>
  <si>
    <t>prešetrené</t>
  </si>
  <si>
    <t xml:space="preserve">               z toho</t>
  </si>
  <si>
    <t>v riešení</t>
  </si>
  <si>
    <t>postúpené</t>
  </si>
  <si>
    <t>odpísané</t>
  </si>
  <si>
    <t>pre kraj</t>
  </si>
  <si>
    <t>celkom</t>
  </si>
  <si>
    <t>adresné</t>
  </si>
  <si>
    <t>anonymné</t>
  </si>
  <si>
    <t>opodstatnené</t>
  </si>
  <si>
    <t>neopodstatnené</t>
  </si>
  <si>
    <t>iným orgánom</t>
  </si>
  <si>
    <t>bez šetrenia</t>
  </si>
  <si>
    <t>S p o l u  rok 2009</t>
  </si>
  <si>
    <t xml:space="preserve">                 rok 2008</t>
  </si>
  <si>
    <t>Index 2009/2008 (%)</t>
  </si>
  <si>
    <t xml:space="preserve">                                Prehľad sťažností, podnetov a oznámení za rok 2009 -  z toho služby</t>
  </si>
  <si>
    <t>Tabuľka 7</t>
  </si>
  <si>
    <t xml:space="preserve">            z toho</t>
  </si>
  <si>
    <t xml:space="preserve">   bez šetrenia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</si>
  <si>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</si>
  <si>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>Prehľad pokút a opatrení uložených SOI v roku 2009</t>
  </si>
  <si>
    <t>Tabuľka  8</t>
  </si>
  <si>
    <t>Rok 2005</t>
  </si>
  <si>
    <t xml:space="preserve"> Rok 2006</t>
  </si>
  <si>
    <t xml:space="preserve"> Rok 2007</t>
  </si>
  <si>
    <t xml:space="preserve"> Rok 2008</t>
  </si>
  <si>
    <t>Rok 2009</t>
  </si>
  <si>
    <t>Druh pokuty a opatrenia</t>
  </si>
  <si>
    <t xml:space="preserve">
počet</t>
  </si>
  <si>
    <t xml:space="preserve">
Hodnota v tis. Sk</t>
  </si>
  <si>
    <r>
      <t xml:space="preserve">
Hodnota v tis. </t>
    </r>
    <r>
      <rPr>
        <b/>
        <sz val="10"/>
        <rFont val="Arial"/>
        <family val="0"/>
      </rPr>
      <t>€</t>
    </r>
  </si>
  <si>
    <t>Peňažné pokuty fyzickým osobám</t>
  </si>
  <si>
    <t>Poriadkové pokuty</t>
  </si>
  <si>
    <t>Peňažné pokuty právnickým osobám</t>
  </si>
  <si>
    <t>Peňažné pokuty celkom</t>
  </si>
  <si>
    <t>Odstúpené :</t>
  </si>
  <si>
    <t xml:space="preserve">  návrh na odobratie živnost. oprávnenia</t>
  </si>
  <si>
    <t xml:space="preserve">  orgánom štátnej správy</t>
  </si>
  <si>
    <t xml:space="preserve">  orgánom činným v trestnom konaní</t>
  </si>
  <si>
    <t xml:space="preserve">    -</t>
  </si>
  <si>
    <t xml:space="preserve">  iným</t>
  </si>
  <si>
    <t xml:space="preserve">  - </t>
  </si>
  <si>
    <t xml:space="preserve">   -</t>
  </si>
  <si>
    <t>Zákazové opatrenia</t>
  </si>
  <si>
    <t xml:space="preserve">  na meradlá </t>
  </si>
  <si>
    <t xml:space="preserve">  na predaj tovarov </t>
  </si>
  <si>
    <t>Počet pokút a opatrení spolu</t>
  </si>
  <si>
    <t>Publikačná činnosť SOI za rok  2009</t>
  </si>
  <si>
    <t>Tabuľka 9</t>
  </si>
  <si>
    <t>Inšpektorát</t>
  </si>
  <si>
    <t>Podiel</t>
  </si>
  <si>
    <t xml:space="preserve">                z  t o h o</t>
  </si>
  <si>
    <t>publikácií 
celkom</t>
  </si>
  <si>
    <t>tlač</t>
  </si>
  <si>
    <t>rozhlas</t>
  </si>
  <si>
    <t>televízia
+ internet</t>
  </si>
  <si>
    <t>Ústredný inšpektorát</t>
  </si>
  <si>
    <t xml:space="preserve">   Prehľad výsledkov kontrol trhového dozoru za roky 2000 - 2009</t>
  </si>
  <si>
    <t>Tabuľka 10</t>
  </si>
  <si>
    <t>Sledovaný ukazovateľ</t>
  </si>
  <si>
    <t>Rok</t>
  </si>
  <si>
    <t>Počet podnetov</t>
  </si>
  <si>
    <t>Opodstatnené podnety</t>
  </si>
  <si>
    <t>Podiel opodstatnených podnetov v %</t>
  </si>
  <si>
    <t>Počet kontrol celkom</t>
  </si>
  <si>
    <t>Počet kontrol so zisteniami</t>
  </si>
  <si>
    <t>Podiel kontrol so zisteniami v %</t>
  </si>
  <si>
    <t>Pozastavenie predaja tovaru v mil. Sk</t>
  </si>
  <si>
    <t>108,6/ 3,6*</t>
  </si>
  <si>
    <t>Počet odobratých vzoriek</t>
  </si>
  <si>
    <t>Počet nevyhovujúcich vzoriek</t>
  </si>
  <si>
    <t>Podiel nevyhovujúcich vzoriek v %</t>
  </si>
  <si>
    <t>zistenia vlastné</t>
  </si>
  <si>
    <t>Počet notifikácií zo systému Rapex</t>
  </si>
  <si>
    <r>
      <t xml:space="preserve">zistenia na základe notifikácie zo systému </t>
    </r>
    <r>
      <rPr>
        <b/>
        <i/>
        <sz val="10"/>
        <rFont val="Arial CE"/>
        <family val="2"/>
      </rPr>
      <t xml:space="preserve"> Rapex</t>
    </r>
  </si>
  <si>
    <r>
      <t>Poznámka:</t>
    </r>
    <r>
      <rPr>
        <sz val="10"/>
        <rFont val="Arial CE"/>
        <family val="0"/>
      </rPr>
      <t xml:space="preserve">      * pozastávka v mil. </t>
    </r>
    <r>
      <rPr>
        <sz val="10"/>
        <rFont val="Arial"/>
        <family val="0"/>
      </rPr>
      <t>€</t>
    </r>
  </si>
</sst>
</file>

<file path=xl/styles.xml><?xml version="1.0" encoding="utf-8"?>
<styleSheet xmlns="http://schemas.openxmlformats.org/spreadsheetml/2006/main">
  <numFmts count="4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00"/>
    <numFmt numFmtId="174" formatCode="0.0000"/>
    <numFmt numFmtId="175" formatCode="0.000"/>
    <numFmt numFmtId="176" formatCode="0.000000"/>
    <numFmt numFmtId="177" formatCode="0.0000000"/>
    <numFmt numFmtId="178" formatCode="0.000000000"/>
    <numFmt numFmtId="179" formatCode="0.000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  <numFmt numFmtId="196" formatCode="[$-41B]d\.\ mmmm\ yyyy"/>
    <numFmt numFmtId="197" formatCode="&quot;Áno&quot;;&quot;Áno&quot;;&quot;Nie&quot;"/>
    <numFmt numFmtId="198" formatCode="&quot;Pravda&quot;;&quot;Pravda&quot;;&quot;Nepravda&quot;"/>
    <numFmt numFmtId="199" formatCode="&quot;Zapnuté&quot;;&quot;Zapnuté&quot;;&quot;Vypnuté&quot;"/>
    <numFmt numFmtId="200" formatCode="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b/>
      <i/>
      <sz val="12"/>
      <name val="Arial CE"/>
      <family val="0"/>
    </font>
    <font>
      <b/>
      <i/>
      <sz val="10"/>
      <name val="Arial CE"/>
      <family val="0"/>
    </font>
    <font>
      <sz val="11"/>
      <name val="Arial CE"/>
      <family val="2"/>
    </font>
    <font>
      <b/>
      <sz val="14"/>
      <name val="Arial"/>
      <family val="2"/>
    </font>
    <font>
      <sz val="8"/>
      <name val="Arial"/>
      <family val="0"/>
    </font>
    <font>
      <b/>
      <sz val="18"/>
      <name val="Arial CE"/>
      <family val="2"/>
    </font>
    <font>
      <b/>
      <sz val="14"/>
      <name val="Arial CE"/>
      <family val="0"/>
    </font>
    <font>
      <sz val="14"/>
      <name val="Arial CE"/>
      <family val="2"/>
    </font>
    <font>
      <b/>
      <sz val="11"/>
      <name val="Arial CE"/>
      <family val="0"/>
    </font>
    <font>
      <sz val="11"/>
      <name val="Arial"/>
      <family val="0"/>
    </font>
    <font>
      <b/>
      <i/>
      <sz val="11"/>
      <name val="Arial CE"/>
      <family val="0"/>
    </font>
    <font>
      <b/>
      <sz val="22"/>
      <name val="Arial CE"/>
      <family val="0"/>
    </font>
    <font>
      <b/>
      <sz val="13"/>
      <name val="Arial CE"/>
      <family val="0"/>
    </font>
    <font>
      <i/>
      <sz val="10"/>
      <name val="Arial CE"/>
      <family val="0"/>
    </font>
    <font>
      <sz val="22"/>
      <name val="Arial"/>
      <family val="0"/>
    </font>
    <font>
      <b/>
      <sz val="9"/>
      <name val="Arial CE"/>
      <family val="2"/>
    </font>
    <font>
      <sz val="9"/>
      <name val="Arial"/>
      <family val="0"/>
    </font>
    <font>
      <sz val="9"/>
      <name val="Arial CE"/>
      <family val="0"/>
    </font>
    <font>
      <b/>
      <sz val="10"/>
      <name val="Arial CE"/>
      <family val="2"/>
    </font>
    <font>
      <i/>
      <sz val="11"/>
      <name val="Arial CE"/>
      <family val="2"/>
    </font>
    <font>
      <sz val="12"/>
      <name val="Arial"/>
      <family val="0"/>
    </font>
    <font>
      <b/>
      <i/>
      <sz val="11"/>
      <name val="Arial"/>
      <family val="0"/>
    </font>
    <font>
      <b/>
      <sz val="12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8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b/>
      <i/>
      <sz val="18"/>
      <name val="Arial CE"/>
      <family val="2"/>
    </font>
    <font>
      <b/>
      <i/>
      <sz val="18"/>
      <name val="Arial"/>
      <family val="0"/>
    </font>
    <font>
      <sz val="18"/>
      <name val="Arial"/>
      <family val="0"/>
    </font>
    <font>
      <b/>
      <sz val="16"/>
      <name val="Arial CE"/>
      <family val="0"/>
    </font>
    <font>
      <b/>
      <i/>
      <sz val="16"/>
      <name val="Arial CE"/>
      <family val="0"/>
    </font>
  </fonts>
  <fills count="2">
    <fill>
      <patternFill/>
    </fill>
    <fill>
      <patternFill patternType="gray125"/>
    </fill>
  </fills>
  <borders count="143">
    <border>
      <left/>
      <right/>
      <top/>
      <bottom/>
      <diagonal/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ck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ck"/>
      <top style="thick"/>
      <bottom style="thick"/>
    </border>
    <border>
      <left>
        <color indexed="63"/>
      </left>
      <right style="medium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thin"/>
      <bottom style="double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 style="thick"/>
    </border>
    <border>
      <left>
        <color indexed="63"/>
      </left>
      <right style="thick"/>
      <top style="double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ck"/>
      <top style="thick"/>
      <bottom style="thin"/>
    </border>
    <border>
      <left style="thin"/>
      <right style="double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ck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 style="thin"/>
      <bottom style="medium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double"/>
      <bottom style="thick"/>
    </border>
    <border>
      <left style="double"/>
      <right style="thin"/>
      <top style="double"/>
      <bottom style="thick"/>
    </border>
    <border>
      <left>
        <color indexed="63"/>
      </left>
      <right style="double"/>
      <top style="thick"/>
      <bottom style="thin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medium"/>
      <right style="thick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42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/>
    </xf>
    <xf numFmtId="3" fontId="4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5" fillId="0" borderId="2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4" fontId="7" fillId="0" borderId="3" xfId="0" applyNumberFormat="1" applyFont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3" fontId="6" fillId="0" borderId="4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0" fontId="10" fillId="0" borderId="0" xfId="0" applyFont="1" applyAlignment="1">
      <alignment/>
    </xf>
    <xf numFmtId="0" fontId="4" fillId="0" borderId="5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0" fontId="6" fillId="0" borderId="8" xfId="0" applyFont="1" applyBorder="1" applyAlignment="1">
      <alignment/>
    </xf>
    <xf numFmtId="0" fontId="4" fillId="0" borderId="9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/>
    </xf>
    <xf numFmtId="0" fontId="4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13" fillId="0" borderId="0" xfId="0" applyFont="1" applyAlignment="1">
      <alignment wrapText="1"/>
    </xf>
    <xf numFmtId="49" fontId="14" fillId="0" borderId="0" xfId="0" applyNumberFormat="1" applyFont="1" applyFill="1" applyAlignment="1">
      <alignment horizontal="center" vertic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5" xfId="0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17" xfId="0" applyBorder="1" applyAlignment="1">
      <alignment/>
    </xf>
    <xf numFmtId="0" fontId="6" fillId="0" borderId="18" xfId="0" applyFont="1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/>
    </xf>
    <xf numFmtId="0" fontId="6" fillId="0" borderId="1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3" fontId="16" fillId="0" borderId="23" xfId="0" applyNumberFormat="1" applyFont="1" applyBorder="1" applyAlignment="1">
      <alignment/>
    </xf>
    <xf numFmtId="2" fontId="16" fillId="0" borderId="23" xfId="0" applyNumberFormat="1" applyFont="1" applyBorder="1" applyAlignment="1">
      <alignment/>
    </xf>
    <xf numFmtId="1" fontId="16" fillId="0" borderId="23" xfId="0" applyNumberFormat="1" applyFont="1" applyBorder="1" applyAlignment="1">
      <alignment/>
    </xf>
    <xf numFmtId="0" fontId="16" fillId="0" borderId="23" xfId="0" applyFont="1" applyBorder="1" applyAlignment="1">
      <alignment/>
    </xf>
    <xf numFmtId="4" fontId="16" fillId="0" borderId="23" xfId="0" applyNumberFormat="1" applyFont="1" applyBorder="1" applyAlignment="1">
      <alignment/>
    </xf>
    <xf numFmtId="3" fontId="15" fillId="0" borderId="23" xfId="0" applyNumberFormat="1" applyFont="1" applyBorder="1" applyAlignment="1">
      <alignment/>
    </xf>
    <xf numFmtId="2" fontId="15" fillId="0" borderId="24" xfId="0" applyNumberFormat="1" applyFont="1" applyBorder="1" applyAlignment="1">
      <alignment/>
    </xf>
    <xf numFmtId="0" fontId="15" fillId="0" borderId="25" xfId="0" applyFont="1" applyBorder="1" applyAlignment="1">
      <alignment/>
    </xf>
    <xf numFmtId="3" fontId="16" fillId="0" borderId="26" xfId="0" applyNumberFormat="1" applyFont="1" applyBorder="1" applyAlignment="1">
      <alignment/>
    </xf>
    <xf numFmtId="2" fontId="16" fillId="0" borderId="26" xfId="0" applyNumberFormat="1" applyFont="1" applyBorder="1" applyAlignment="1">
      <alignment/>
    </xf>
    <xf numFmtId="1" fontId="16" fillId="0" borderId="26" xfId="0" applyNumberFormat="1" applyFont="1" applyBorder="1" applyAlignment="1">
      <alignment/>
    </xf>
    <xf numFmtId="0" fontId="16" fillId="0" borderId="26" xfId="0" applyFont="1" applyBorder="1" applyAlignment="1">
      <alignment/>
    </xf>
    <xf numFmtId="4" fontId="16" fillId="0" borderId="26" xfId="0" applyNumberFormat="1" applyFont="1" applyBorder="1" applyAlignment="1">
      <alignment/>
    </xf>
    <xf numFmtId="3" fontId="15" fillId="0" borderId="26" xfId="0" applyNumberFormat="1" applyFont="1" applyBorder="1" applyAlignment="1">
      <alignment/>
    </xf>
    <xf numFmtId="2" fontId="15" fillId="0" borderId="27" xfId="0" applyNumberFormat="1" applyFont="1" applyBorder="1" applyAlignment="1">
      <alignment/>
    </xf>
    <xf numFmtId="0" fontId="15" fillId="0" borderId="12" xfId="0" applyFont="1" applyBorder="1" applyAlignment="1">
      <alignment/>
    </xf>
    <xf numFmtId="3" fontId="17" fillId="0" borderId="3" xfId="0" applyNumberFormat="1" applyFont="1" applyBorder="1" applyAlignment="1">
      <alignment/>
    </xf>
    <xf numFmtId="4" fontId="17" fillId="0" borderId="3" xfId="0" applyNumberFormat="1" applyFont="1" applyBorder="1" applyAlignment="1">
      <alignment/>
    </xf>
    <xf numFmtId="4" fontId="17" fillId="0" borderId="7" xfId="0" applyNumberFormat="1" applyFont="1" applyBorder="1" applyAlignment="1">
      <alignment/>
    </xf>
    <xf numFmtId="3" fontId="0" fillId="0" borderId="0" xfId="0" applyNumberFormat="1" applyAlignment="1">
      <alignment/>
    </xf>
    <xf numFmtId="3" fontId="16" fillId="0" borderId="28" xfId="0" applyNumberFormat="1" applyFont="1" applyFill="1" applyBorder="1" applyAlignment="1">
      <alignment/>
    </xf>
    <xf numFmtId="0" fontId="4" fillId="0" borderId="0" xfId="20">
      <alignment/>
      <protection/>
    </xf>
    <xf numFmtId="0" fontId="18" fillId="0" borderId="0" xfId="20" applyFont="1">
      <alignment/>
      <protection/>
    </xf>
    <xf numFmtId="0" fontId="8" fillId="0" borderId="0" xfId="20" applyFont="1">
      <alignment/>
      <protection/>
    </xf>
    <xf numFmtId="0" fontId="19" fillId="0" borderId="29" xfId="20" applyFont="1" applyBorder="1">
      <alignment/>
      <protection/>
    </xf>
    <xf numFmtId="3" fontId="4" fillId="0" borderId="30" xfId="20" applyNumberFormat="1" applyFont="1" applyBorder="1" applyAlignment="1">
      <alignment horizontal="right"/>
      <protection/>
    </xf>
    <xf numFmtId="3" fontId="4" fillId="0" borderId="31" xfId="20" applyNumberFormat="1" applyFont="1" applyBorder="1" applyAlignment="1">
      <alignment horizontal="right"/>
      <protection/>
    </xf>
    <xf numFmtId="3" fontId="8" fillId="0" borderId="31" xfId="20" applyNumberFormat="1" applyFont="1" applyBorder="1" applyAlignment="1">
      <alignment horizontal="right"/>
      <protection/>
    </xf>
    <xf numFmtId="4" fontId="8" fillId="0" borderId="31" xfId="20" applyNumberFormat="1" applyFont="1" applyBorder="1" applyAlignment="1">
      <alignment horizontal="right"/>
      <protection/>
    </xf>
    <xf numFmtId="4" fontId="20" fillId="0" borderId="32" xfId="20" applyNumberFormat="1" applyFont="1" applyBorder="1" applyAlignment="1">
      <alignment horizontal="right"/>
      <protection/>
    </xf>
    <xf numFmtId="3" fontId="4" fillId="0" borderId="2" xfId="20" applyNumberFormat="1" applyFont="1" applyBorder="1" applyAlignment="1">
      <alignment horizontal="right"/>
      <protection/>
    </xf>
    <xf numFmtId="3" fontId="8" fillId="0" borderId="2" xfId="20" applyNumberFormat="1" applyFont="1" applyBorder="1" applyAlignment="1">
      <alignment horizontal="right"/>
      <protection/>
    </xf>
    <xf numFmtId="4" fontId="8" fillId="0" borderId="2" xfId="20" applyNumberFormat="1" applyFont="1" applyBorder="1" applyAlignment="1">
      <alignment horizontal="right"/>
      <protection/>
    </xf>
    <xf numFmtId="0" fontId="19" fillId="0" borderId="33" xfId="20" applyFont="1" applyBorder="1">
      <alignment/>
      <protection/>
    </xf>
    <xf numFmtId="0" fontId="19" fillId="0" borderId="34" xfId="20" applyFont="1" applyBorder="1">
      <alignment/>
      <protection/>
    </xf>
    <xf numFmtId="3" fontId="4" fillId="0" borderId="23" xfId="20" applyNumberFormat="1" applyFont="1" applyBorder="1" applyAlignment="1">
      <alignment horizontal="right"/>
      <protection/>
    </xf>
    <xf numFmtId="3" fontId="4" fillId="0" borderId="26" xfId="20" applyNumberFormat="1" applyFont="1" applyBorder="1" applyAlignment="1">
      <alignment horizontal="right"/>
      <protection/>
    </xf>
    <xf numFmtId="3" fontId="8" fillId="0" borderId="26" xfId="20" applyNumberFormat="1" applyFont="1" applyBorder="1" applyAlignment="1">
      <alignment horizontal="right"/>
      <protection/>
    </xf>
    <xf numFmtId="4" fontId="8" fillId="0" borderId="26" xfId="20" applyNumberFormat="1" applyFont="1" applyBorder="1" applyAlignment="1">
      <alignment horizontal="right"/>
      <protection/>
    </xf>
    <xf numFmtId="0" fontId="13" fillId="0" borderId="35" xfId="20" applyFont="1" applyBorder="1">
      <alignment/>
      <protection/>
    </xf>
    <xf numFmtId="3" fontId="15" fillId="0" borderId="36" xfId="20" applyNumberFormat="1" applyFont="1" applyBorder="1" applyAlignment="1">
      <alignment horizontal="right"/>
      <protection/>
    </xf>
    <xf numFmtId="4" fontId="15" fillId="0" borderId="36" xfId="20" applyNumberFormat="1" applyFont="1" applyBorder="1" applyAlignment="1">
      <alignment horizontal="center"/>
      <protection/>
    </xf>
    <xf numFmtId="4" fontId="15" fillId="0" borderId="37" xfId="20" applyNumberFormat="1" applyFont="1" applyBorder="1" applyAlignment="1">
      <alignment horizontal="center"/>
      <protection/>
    </xf>
    <xf numFmtId="3" fontId="4" fillId="0" borderId="0" xfId="20" applyNumberFormat="1">
      <alignment/>
      <protection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4" fillId="0" borderId="38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4" fillId="0" borderId="39" xfId="0" applyFont="1" applyBorder="1" applyAlignment="1">
      <alignment horizontal="center"/>
    </xf>
    <xf numFmtId="0" fontId="7" fillId="0" borderId="4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6" fillId="0" borderId="33" xfId="0" applyFont="1" applyBorder="1" applyAlignment="1">
      <alignment/>
    </xf>
    <xf numFmtId="3" fontId="26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2" fontId="26" fillId="0" borderId="42" xfId="0" applyNumberFormat="1" applyFont="1" applyBorder="1" applyAlignment="1">
      <alignment/>
    </xf>
    <xf numFmtId="0" fontId="27" fillId="0" borderId="0" xfId="0" applyFont="1" applyAlignment="1">
      <alignment/>
    </xf>
    <xf numFmtId="0" fontId="6" fillId="0" borderId="29" xfId="0" applyFont="1" applyBorder="1" applyAlignment="1">
      <alignment/>
    </xf>
    <xf numFmtId="3" fontId="26" fillId="0" borderId="43" xfId="0" applyNumberFormat="1" applyFont="1" applyBorder="1" applyAlignment="1">
      <alignment/>
    </xf>
    <xf numFmtId="4" fontId="26" fillId="0" borderId="43" xfId="0" applyNumberFormat="1" applyFont="1" applyBorder="1" applyAlignment="1">
      <alignment/>
    </xf>
    <xf numFmtId="2" fontId="26" fillId="0" borderId="44" xfId="0" applyNumberFormat="1" applyFont="1" applyBorder="1" applyAlignment="1">
      <alignment/>
    </xf>
    <xf numFmtId="0" fontId="17" fillId="0" borderId="29" xfId="0" applyFont="1" applyBorder="1" applyAlignment="1">
      <alignment/>
    </xf>
    <xf numFmtId="3" fontId="17" fillId="0" borderId="43" xfId="0" applyNumberFormat="1" applyFont="1" applyBorder="1" applyAlignment="1">
      <alignment/>
    </xf>
    <xf numFmtId="4" fontId="17" fillId="0" borderId="43" xfId="0" applyNumberFormat="1" applyFont="1" applyBorder="1" applyAlignment="1">
      <alignment/>
    </xf>
    <xf numFmtId="2" fontId="17" fillId="0" borderId="44" xfId="0" applyNumberFormat="1" applyFont="1" applyBorder="1" applyAlignment="1">
      <alignment/>
    </xf>
    <xf numFmtId="0" fontId="17" fillId="0" borderId="0" xfId="0" applyFont="1" applyAlignment="1">
      <alignment/>
    </xf>
    <xf numFmtId="0" fontId="28" fillId="0" borderId="0" xfId="0" applyFont="1" applyAlignment="1">
      <alignment/>
    </xf>
    <xf numFmtId="0" fontId="7" fillId="0" borderId="45" xfId="0" applyFont="1" applyBorder="1" applyAlignment="1">
      <alignment/>
    </xf>
    <xf numFmtId="3" fontId="17" fillId="0" borderId="46" xfId="0" applyNumberFormat="1" applyFont="1" applyBorder="1" applyAlignment="1">
      <alignment/>
    </xf>
    <xf numFmtId="4" fontId="17" fillId="0" borderId="46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7" fillId="0" borderId="29" xfId="0" applyFont="1" applyBorder="1" applyAlignment="1">
      <alignment/>
    </xf>
    <xf numFmtId="0" fontId="6" fillId="0" borderId="47" xfId="0" applyFont="1" applyBorder="1" applyAlignment="1">
      <alignment/>
    </xf>
    <xf numFmtId="3" fontId="6" fillId="0" borderId="48" xfId="0" applyNumberFormat="1" applyFont="1" applyBorder="1" applyAlignment="1">
      <alignment/>
    </xf>
    <xf numFmtId="3" fontId="17" fillId="0" borderId="49" xfId="0" applyNumberFormat="1" applyFont="1" applyBorder="1" applyAlignment="1">
      <alignment/>
    </xf>
    <xf numFmtId="3" fontId="6" fillId="0" borderId="49" xfId="0" applyNumberFormat="1" applyFont="1" applyBorder="1" applyAlignment="1">
      <alignment/>
    </xf>
    <xf numFmtId="2" fontId="6" fillId="0" borderId="50" xfId="0" applyNumberFormat="1" applyFont="1" applyBorder="1" applyAlignment="1">
      <alignment/>
    </xf>
    <xf numFmtId="0" fontId="29" fillId="0" borderId="0" xfId="0" applyFont="1" applyAlignment="1">
      <alignment/>
    </xf>
    <xf numFmtId="3" fontId="26" fillId="0" borderId="51" xfId="0" applyNumberFormat="1" applyFont="1" applyBorder="1" applyAlignment="1">
      <alignment/>
    </xf>
    <xf numFmtId="3" fontId="17" fillId="0" borderId="52" xfId="0" applyNumberFormat="1" applyFont="1" applyBorder="1" applyAlignment="1">
      <alignment/>
    </xf>
    <xf numFmtId="4" fontId="26" fillId="0" borderId="51" xfId="0" applyNumberFormat="1" applyFont="1" applyBorder="1" applyAlignment="1">
      <alignment/>
    </xf>
    <xf numFmtId="0" fontId="6" fillId="0" borderId="35" xfId="0" applyFont="1" applyBorder="1" applyAlignment="1">
      <alignment/>
    </xf>
    <xf numFmtId="3" fontId="6" fillId="0" borderId="53" xfId="0" applyNumberFormat="1" applyFont="1" applyBorder="1" applyAlignment="1">
      <alignment/>
    </xf>
    <xf numFmtId="3" fontId="17" fillId="0" borderId="36" xfId="0" applyNumberFormat="1" applyFont="1" applyBorder="1" applyAlignment="1">
      <alignment/>
    </xf>
    <xf numFmtId="4" fontId="6" fillId="0" borderId="53" xfId="0" applyNumberFormat="1" applyFont="1" applyBorder="1" applyAlignment="1">
      <alignment/>
    </xf>
    <xf numFmtId="3" fontId="17" fillId="0" borderId="53" xfId="0" applyNumberFormat="1" applyFont="1" applyBorder="1" applyAlignment="1">
      <alignment/>
    </xf>
    <xf numFmtId="2" fontId="6" fillId="0" borderId="54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4" fillId="0" borderId="0" xfId="21">
      <alignment/>
      <protection/>
    </xf>
    <xf numFmtId="0" fontId="13" fillId="0" borderId="0" xfId="21" applyFont="1">
      <alignment/>
      <protection/>
    </xf>
    <xf numFmtId="0" fontId="7" fillId="0" borderId="0" xfId="21" applyFont="1">
      <alignment/>
      <protection/>
    </xf>
    <xf numFmtId="0" fontId="0" fillId="0" borderId="0" xfId="21" applyFont="1">
      <alignment/>
      <protection/>
    </xf>
    <xf numFmtId="0" fontId="32" fillId="0" borderId="55" xfId="21" applyFont="1" applyBorder="1" applyAlignment="1">
      <alignment horizontal="center" vertical="center"/>
      <protection/>
    </xf>
    <xf numFmtId="0" fontId="32" fillId="0" borderId="38" xfId="21" applyFont="1" applyBorder="1" applyAlignment="1">
      <alignment horizontal="center" vertical="center"/>
      <protection/>
    </xf>
    <xf numFmtId="0" fontId="32" fillId="0" borderId="56" xfId="21" applyFont="1" applyBorder="1" applyAlignment="1">
      <alignment horizontal="center" vertical="center"/>
      <protection/>
    </xf>
    <xf numFmtId="0" fontId="7" fillId="0" borderId="57" xfId="21" applyFont="1" applyBorder="1" applyAlignment="1">
      <alignment shrinkToFit="1"/>
      <protection/>
    </xf>
    <xf numFmtId="0" fontId="4" fillId="0" borderId="23" xfId="21" applyBorder="1">
      <alignment/>
      <protection/>
    </xf>
    <xf numFmtId="0" fontId="33" fillId="0" borderId="23" xfId="21" applyFont="1" applyBorder="1">
      <alignment/>
      <protection/>
    </xf>
    <xf numFmtId="2" fontId="33" fillId="0" borderId="23" xfId="21" applyNumberFormat="1" applyFont="1" applyBorder="1">
      <alignment/>
      <protection/>
    </xf>
    <xf numFmtId="0" fontId="4" fillId="0" borderId="58" xfId="21" applyBorder="1">
      <alignment/>
      <protection/>
    </xf>
    <xf numFmtId="0" fontId="24" fillId="0" borderId="59" xfId="21" applyFont="1" applyBorder="1">
      <alignment/>
      <protection/>
    </xf>
    <xf numFmtId="0" fontId="24" fillId="0" borderId="2" xfId="21" applyFont="1" applyBorder="1" applyAlignment="1">
      <alignment horizontal="center"/>
      <protection/>
    </xf>
    <xf numFmtId="2" fontId="24" fillId="0" borderId="2" xfId="21" applyNumberFormat="1" applyFont="1" applyBorder="1" applyAlignment="1">
      <alignment/>
      <protection/>
    </xf>
    <xf numFmtId="0" fontId="24" fillId="0" borderId="60" xfId="21" applyFont="1" applyBorder="1" applyAlignment="1">
      <alignment horizontal="center"/>
      <protection/>
    </xf>
    <xf numFmtId="0" fontId="24" fillId="0" borderId="59" xfId="21" applyFont="1" applyBorder="1" applyAlignment="1">
      <alignment wrapText="1"/>
      <protection/>
    </xf>
    <xf numFmtId="0" fontId="8" fillId="0" borderId="59" xfId="21" applyFont="1" applyBorder="1">
      <alignment/>
      <protection/>
    </xf>
    <xf numFmtId="0" fontId="25" fillId="0" borderId="2" xfId="21" applyFont="1" applyBorder="1" applyAlignment="1">
      <alignment horizontal="center"/>
      <protection/>
    </xf>
    <xf numFmtId="2" fontId="25" fillId="0" borderId="2" xfId="21" applyNumberFormat="1" applyFont="1" applyBorder="1" applyAlignment="1">
      <alignment horizontal="right"/>
      <protection/>
    </xf>
    <xf numFmtId="0" fontId="25" fillId="0" borderId="60" xfId="21" applyFont="1" applyBorder="1" applyAlignment="1">
      <alignment horizontal="center"/>
      <protection/>
    </xf>
    <xf numFmtId="0" fontId="4" fillId="0" borderId="2" xfId="21" applyBorder="1" applyAlignment="1">
      <alignment horizontal="center"/>
      <protection/>
    </xf>
    <xf numFmtId="0" fontId="4" fillId="0" borderId="2" xfId="21" applyBorder="1">
      <alignment/>
      <protection/>
    </xf>
    <xf numFmtId="2" fontId="33" fillId="0" borderId="2" xfId="21" applyNumberFormat="1" applyFont="1" applyBorder="1" applyAlignment="1">
      <alignment horizontal="center"/>
      <protection/>
    </xf>
    <xf numFmtId="0" fontId="4" fillId="0" borderId="60" xfId="21" applyBorder="1">
      <alignment/>
      <protection/>
    </xf>
    <xf numFmtId="2" fontId="24" fillId="0" borderId="2" xfId="21" applyNumberFormat="1" applyFont="1" applyBorder="1" applyAlignment="1">
      <alignment horizontal="right"/>
      <protection/>
    </xf>
    <xf numFmtId="0" fontId="24" fillId="0" borderId="57" xfId="21" applyFont="1" applyBorder="1">
      <alignment/>
      <protection/>
    </xf>
    <xf numFmtId="0" fontId="24" fillId="0" borderId="23" xfId="21" applyFont="1" applyBorder="1" applyAlignment="1">
      <alignment horizontal="center"/>
      <protection/>
    </xf>
    <xf numFmtId="2" fontId="24" fillId="0" borderId="23" xfId="21" applyNumberFormat="1" applyFont="1" applyBorder="1" applyAlignment="1">
      <alignment horizontal="right"/>
      <protection/>
    </xf>
    <xf numFmtId="0" fontId="24" fillId="0" borderId="58" xfId="21" applyFont="1" applyBorder="1" applyAlignment="1">
      <alignment horizontal="center"/>
      <protection/>
    </xf>
    <xf numFmtId="0" fontId="4" fillId="0" borderId="0" xfId="21" applyFont="1">
      <alignment/>
      <protection/>
    </xf>
    <xf numFmtId="0" fontId="8" fillId="0" borderId="57" xfId="21" applyFont="1" applyBorder="1">
      <alignment/>
      <protection/>
    </xf>
    <xf numFmtId="0" fontId="25" fillId="0" borderId="23" xfId="21" applyFont="1" applyBorder="1" applyAlignment="1">
      <alignment horizontal="center"/>
      <protection/>
    </xf>
    <xf numFmtId="2" fontId="25" fillId="0" borderId="23" xfId="21" applyNumberFormat="1" applyFont="1" applyBorder="1" applyAlignment="1">
      <alignment horizontal="right"/>
      <protection/>
    </xf>
    <xf numFmtId="0" fontId="25" fillId="0" borderId="58" xfId="21" applyFont="1" applyBorder="1" applyAlignment="1">
      <alignment horizontal="center"/>
      <protection/>
    </xf>
    <xf numFmtId="2" fontId="33" fillId="0" borderId="2" xfId="21" applyNumberFormat="1" applyFont="1" applyBorder="1">
      <alignment/>
      <protection/>
    </xf>
    <xf numFmtId="0" fontId="7" fillId="0" borderId="61" xfId="21" applyFont="1" applyBorder="1">
      <alignment/>
      <protection/>
    </xf>
    <xf numFmtId="0" fontId="7" fillId="0" borderId="62" xfId="21" applyFont="1" applyBorder="1" applyAlignment="1">
      <alignment horizontal="center"/>
      <protection/>
    </xf>
    <xf numFmtId="2" fontId="7" fillId="0" borderId="63" xfId="21" applyNumberFormat="1" applyFont="1" applyBorder="1" applyAlignment="1">
      <alignment horizontal="right"/>
      <protection/>
    </xf>
    <xf numFmtId="0" fontId="7" fillId="0" borderId="62" xfId="21" applyFont="1" applyBorder="1">
      <alignment/>
      <protection/>
    </xf>
    <xf numFmtId="0" fontId="6" fillId="0" borderId="64" xfId="21" applyFont="1" applyBorder="1" applyAlignment="1">
      <alignment horizontal="center"/>
      <protection/>
    </xf>
    <xf numFmtId="0" fontId="5" fillId="0" borderId="0" xfId="21" applyFont="1">
      <alignment/>
      <protection/>
    </xf>
    <xf numFmtId="2" fontId="33" fillId="0" borderId="0" xfId="21" applyNumberFormat="1" applyFont="1">
      <alignment/>
      <protection/>
    </xf>
    <xf numFmtId="0" fontId="8" fillId="0" borderId="0" xfId="21" applyFont="1">
      <alignment/>
      <protection/>
    </xf>
    <xf numFmtId="0" fontId="0" fillId="0" borderId="0" xfId="21" applyFont="1">
      <alignment/>
      <protection/>
    </xf>
    <xf numFmtId="0" fontId="19" fillId="0" borderId="0" xfId="0" applyFont="1" applyAlignment="1">
      <alignment/>
    </xf>
    <xf numFmtId="0" fontId="6" fillId="0" borderId="13" xfId="0" applyFont="1" applyBorder="1" applyAlignment="1">
      <alignment/>
    </xf>
    <xf numFmtId="0" fontId="22" fillId="0" borderId="13" xfId="0" applyFont="1" applyBorder="1" applyAlignment="1">
      <alignment horizontal="center"/>
    </xf>
    <xf numFmtId="0" fontId="5" fillId="0" borderId="65" xfId="0" applyFont="1" applyBorder="1" applyAlignment="1">
      <alignment/>
    </xf>
    <xf numFmtId="0" fontId="5" fillId="0" borderId="66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22" fillId="0" borderId="1" xfId="0" applyFont="1" applyBorder="1" applyAlignment="1">
      <alignment horizontal="center"/>
    </xf>
    <xf numFmtId="0" fontId="24" fillId="0" borderId="67" xfId="0" applyFont="1" applyBorder="1" applyAlignment="1">
      <alignment horizontal="center"/>
    </xf>
    <xf numFmtId="0" fontId="24" fillId="0" borderId="68" xfId="0" applyFont="1" applyBorder="1" applyAlignment="1">
      <alignment horizontal="center"/>
    </xf>
    <xf numFmtId="0" fontId="33" fillId="0" borderId="67" xfId="0" applyFont="1" applyBorder="1" applyAlignment="1">
      <alignment horizontal="center"/>
    </xf>
    <xf numFmtId="0" fontId="33" fillId="0" borderId="69" xfId="0" applyFont="1" applyBorder="1" applyAlignment="1">
      <alignment horizontal="center"/>
    </xf>
    <xf numFmtId="0" fontId="0" fillId="0" borderId="1" xfId="0" applyBorder="1" applyAlignment="1">
      <alignment/>
    </xf>
    <xf numFmtId="0" fontId="3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70" xfId="0" applyFont="1" applyBorder="1" applyAlignment="1">
      <alignment/>
    </xf>
    <xf numFmtId="0" fontId="5" fillId="0" borderId="71" xfId="0" applyFont="1" applyBorder="1" applyAlignment="1">
      <alignment/>
    </xf>
    <xf numFmtId="0" fontId="5" fillId="0" borderId="72" xfId="0" applyFont="1" applyBorder="1" applyAlignment="1">
      <alignment/>
    </xf>
    <xf numFmtId="0" fontId="5" fillId="0" borderId="73" xfId="0" applyFont="1" applyBorder="1" applyAlignment="1">
      <alignment/>
    </xf>
    <xf numFmtId="0" fontId="5" fillId="0" borderId="74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75" xfId="0" applyFont="1" applyBorder="1" applyAlignment="1">
      <alignment/>
    </xf>
    <xf numFmtId="0" fontId="5" fillId="0" borderId="44" xfId="0" applyFont="1" applyBorder="1" applyAlignment="1">
      <alignment/>
    </xf>
    <xf numFmtId="0" fontId="0" fillId="0" borderId="0" xfId="0" applyFont="1" applyAlignment="1">
      <alignment/>
    </xf>
    <xf numFmtId="0" fontId="6" fillId="0" borderId="76" xfId="0" applyFont="1" applyBorder="1" applyAlignment="1">
      <alignment/>
    </xf>
    <xf numFmtId="0" fontId="5" fillId="0" borderId="77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78" xfId="0" applyFont="1" applyBorder="1" applyAlignment="1">
      <alignment/>
    </xf>
    <xf numFmtId="0" fontId="5" fillId="0" borderId="41" xfId="0" applyFont="1" applyBorder="1" applyAlignment="1">
      <alignment/>
    </xf>
    <xf numFmtId="0" fontId="7" fillId="0" borderId="79" xfId="0" applyFont="1" applyBorder="1" applyAlignment="1">
      <alignment/>
    </xf>
    <xf numFmtId="3" fontId="7" fillId="0" borderId="80" xfId="0" applyNumberFormat="1" applyFont="1" applyBorder="1" applyAlignment="1">
      <alignment/>
    </xf>
    <xf numFmtId="0" fontId="7" fillId="0" borderId="81" xfId="0" applyFont="1" applyBorder="1" applyAlignment="1">
      <alignment/>
    </xf>
    <xf numFmtId="3" fontId="7" fillId="0" borderId="82" xfId="0" applyNumberFormat="1" applyFont="1" applyBorder="1" applyAlignment="1">
      <alignment/>
    </xf>
    <xf numFmtId="0" fontId="7" fillId="0" borderId="83" xfId="0" applyFont="1" applyBorder="1" applyAlignment="1">
      <alignment/>
    </xf>
    <xf numFmtId="3" fontId="7" fillId="0" borderId="81" xfId="0" applyNumberFormat="1" applyFont="1" applyBorder="1" applyAlignment="1">
      <alignment/>
    </xf>
    <xf numFmtId="0" fontId="7" fillId="0" borderId="80" xfId="0" applyFont="1" applyBorder="1" applyAlignment="1">
      <alignment/>
    </xf>
    <xf numFmtId="0" fontId="7" fillId="0" borderId="84" xfId="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29" xfId="0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85" xfId="0" applyNumberFormat="1" applyFont="1" applyBorder="1" applyAlignment="1">
      <alignment/>
    </xf>
    <xf numFmtId="3" fontId="5" fillId="0" borderId="73" xfId="0" applyNumberFormat="1" applyFont="1" applyBorder="1" applyAlignment="1">
      <alignment/>
    </xf>
    <xf numFmtId="0" fontId="27" fillId="0" borderId="43" xfId="0" applyFont="1" applyBorder="1" applyAlignment="1">
      <alignment/>
    </xf>
    <xf numFmtId="0" fontId="27" fillId="0" borderId="44" xfId="0" applyFont="1" applyBorder="1" applyAlignment="1">
      <alignment/>
    </xf>
    <xf numFmtId="0" fontId="7" fillId="0" borderId="35" xfId="0" applyFont="1" applyBorder="1" applyAlignment="1">
      <alignment/>
    </xf>
    <xf numFmtId="1" fontId="7" fillId="0" borderId="53" xfId="0" applyNumberFormat="1" applyFont="1" applyBorder="1" applyAlignment="1">
      <alignment/>
    </xf>
    <xf numFmtId="1" fontId="7" fillId="0" borderId="86" xfId="0" applyNumberFormat="1" applyFont="1" applyBorder="1" applyAlignment="1">
      <alignment/>
    </xf>
    <xf numFmtId="1" fontId="7" fillId="0" borderId="87" xfId="0" applyNumberFormat="1" applyFont="1" applyBorder="1" applyAlignment="1">
      <alignment/>
    </xf>
    <xf numFmtId="1" fontId="7" fillId="0" borderId="54" xfId="0" applyNumberFormat="1" applyFont="1" applyBorder="1" applyAlignment="1">
      <alignment/>
    </xf>
    <xf numFmtId="1" fontId="7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24" fillId="0" borderId="69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5" fillId="0" borderId="88" xfId="0" applyFont="1" applyBorder="1" applyAlignment="1">
      <alignment/>
    </xf>
    <xf numFmtId="0" fontId="27" fillId="0" borderId="71" xfId="0" applyFont="1" applyBorder="1" applyAlignment="1">
      <alignment/>
    </xf>
    <xf numFmtId="0" fontId="27" fillId="0" borderId="74" xfId="0" applyFont="1" applyBorder="1" applyAlignment="1">
      <alignment/>
    </xf>
    <xf numFmtId="0" fontId="6" fillId="0" borderId="79" xfId="0" applyFont="1" applyBorder="1" applyAlignment="1">
      <alignment/>
    </xf>
    <xf numFmtId="0" fontId="5" fillId="0" borderId="80" xfId="0" applyFont="1" applyBorder="1" applyAlignment="1">
      <alignment/>
    </xf>
    <xf numFmtId="0" fontId="5" fillId="0" borderId="89" xfId="0" applyFont="1" applyBorder="1" applyAlignment="1">
      <alignment/>
    </xf>
    <xf numFmtId="0" fontId="27" fillId="0" borderId="80" xfId="0" applyFont="1" applyBorder="1" applyAlignment="1">
      <alignment/>
    </xf>
    <xf numFmtId="0" fontId="27" fillId="0" borderId="84" xfId="0" applyFont="1" applyBorder="1" applyAlignment="1">
      <alignment/>
    </xf>
    <xf numFmtId="0" fontId="7" fillId="0" borderId="89" xfId="0" applyFont="1" applyBorder="1" applyAlignment="1">
      <alignment/>
    </xf>
    <xf numFmtId="0" fontId="6" fillId="0" borderId="90" xfId="0" applyFont="1" applyBorder="1" applyAlignment="1">
      <alignment/>
    </xf>
    <xf numFmtId="0" fontId="6" fillId="0" borderId="91" xfId="0" applyFont="1" applyBorder="1" applyAlignment="1">
      <alignment/>
    </xf>
    <xf numFmtId="0" fontId="25" fillId="0" borderId="38" xfId="0" applyFont="1" applyBorder="1" applyAlignment="1">
      <alignment horizontal="center" vertical="center" wrapText="1"/>
    </xf>
    <xf numFmtId="0" fontId="9" fillId="0" borderId="92" xfId="0" applyFont="1" applyBorder="1" applyAlignment="1">
      <alignment/>
    </xf>
    <xf numFmtId="3" fontId="6" fillId="0" borderId="59" xfId="0" applyNumberFormat="1" applyFont="1" applyBorder="1" applyAlignment="1">
      <alignment/>
    </xf>
    <xf numFmtId="3" fontId="6" fillId="0" borderId="93" xfId="0" applyNumberFormat="1" applyFont="1" applyBorder="1" applyAlignment="1">
      <alignment/>
    </xf>
    <xf numFmtId="3" fontId="29" fillId="0" borderId="94" xfId="0" applyNumberFormat="1" applyFont="1" applyBorder="1" applyAlignment="1">
      <alignment/>
    </xf>
    <xf numFmtId="3" fontId="6" fillId="0" borderId="61" xfId="0" applyNumberFormat="1" applyFont="1" applyBorder="1" applyAlignment="1">
      <alignment/>
    </xf>
    <xf numFmtId="3" fontId="6" fillId="0" borderId="95" xfId="0" applyNumberFormat="1" applyFont="1" applyBorder="1" applyAlignment="1">
      <alignment/>
    </xf>
    <xf numFmtId="3" fontId="29" fillId="0" borderId="96" xfId="0" applyNumberFormat="1" applyFont="1" applyBorder="1" applyAlignment="1">
      <alignment/>
    </xf>
    <xf numFmtId="0" fontId="9" fillId="0" borderId="97" xfId="0" applyFont="1" applyBorder="1" applyAlignment="1">
      <alignment/>
    </xf>
    <xf numFmtId="3" fontId="29" fillId="0" borderId="39" xfId="0" applyNumberFormat="1" applyFont="1" applyBorder="1" applyAlignment="1">
      <alignment/>
    </xf>
    <xf numFmtId="0" fontId="9" fillId="0" borderId="98" xfId="0" applyFont="1" applyBorder="1" applyAlignment="1">
      <alignment/>
    </xf>
    <xf numFmtId="0" fontId="6" fillId="0" borderId="57" xfId="0" applyFont="1" applyBorder="1" applyAlignment="1">
      <alignment/>
    </xf>
    <xf numFmtId="0" fontId="6" fillId="0" borderId="99" xfId="0" applyFont="1" applyBorder="1" applyAlignment="1">
      <alignment/>
    </xf>
    <xf numFmtId="3" fontId="29" fillId="0" borderId="100" xfId="0" applyNumberFormat="1" applyFont="1" applyBorder="1" applyAlignment="1">
      <alignment/>
    </xf>
    <xf numFmtId="0" fontId="6" fillId="0" borderId="92" xfId="0" applyFont="1" applyBorder="1" applyAlignment="1">
      <alignment horizontal="right"/>
    </xf>
    <xf numFmtId="0" fontId="6" fillId="0" borderId="101" xfId="0" applyFont="1" applyBorder="1" applyAlignment="1">
      <alignment/>
    </xf>
    <xf numFmtId="3" fontId="29" fillId="0" borderId="102" xfId="0" applyNumberFormat="1" applyFont="1" applyBorder="1" applyAlignment="1">
      <alignment/>
    </xf>
    <xf numFmtId="0" fontId="6" fillId="0" borderId="59" xfId="0" applyFont="1" applyBorder="1" applyAlignment="1">
      <alignment horizontal="right"/>
    </xf>
    <xf numFmtId="0" fontId="6" fillId="0" borderId="93" xfId="0" applyFont="1" applyBorder="1" applyAlignment="1">
      <alignment/>
    </xf>
    <xf numFmtId="0" fontId="6" fillId="0" borderId="61" xfId="0" applyFont="1" applyBorder="1" applyAlignment="1">
      <alignment horizontal="right"/>
    </xf>
    <xf numFmtId="0" fontId="6" fillId="0" borderId="95" xfId="0" applyFont="1" applyBorder="1" applyAlignment="1">
      <alignment/>
    </xf>
    <xf numFmtId="0" fontId="9" fillId="0" borderId="103" xfId="0" applyFont="1" applyBorder="1" applyAlignment="1">
      <alignment/>
    </xf>
    <xf numFmtId="2" fontId="6" fillId="0" borderId="98" xfId="0" applyNumberFormat="1" applyFont="1" applyBorder="1" applyAlignment="1">
      <alignment/>
    </xf>
    <xf numFmtId="3" fontId="29" fillId="0" borderId="104" xfId="0" applyNumberFormat="1" applyFont="1" applyBorder="1" applyAlignment="1">
      <alignment/>
    </xf>
    <xf numFmtId="3" fontId="6" fillId="0" borderId="98" xfId="0" applyNumberFormat="1" applyFont="1" applyBorder="1" applyAlignment="1">
      <alignment/>
    </xf>
    <xf numFmtId="3" fontId="6" fillId="0" borderId="105" xfId="0" applyNumberFormat="1" applyFont="1" applyBorder="1" applyAlignment="1">
      <alignment/>
    </xf>
    <xf numFmtId="3" fontId="6" fillId="0" borderId="106" xfId="0" applyNumberFormat="1" applyFont="1" applyBorder="1" applyAlignment="1">
      <alignment/>
    </xf>
    <xf numFmtId="3" fontId="29" fillId="0" borderId="107" xfId="0" applyNumberFormat="1" applyFont="1" applyBorder="1" applyAlignment="1">
      <alignment/>
    </xf>
    <xf numFmtId="0" fontId="9" fillId="0" borderId="108" xfId="0" applyFont="1" applyBorder="1" applyAlignment="1">
      <alignment/>
    </xf>
    <xf numFmtId="3" fontId="6" fillId="0" borderId="108" xfId="0" applyNumberFormat="1" applyFont="1" applyBorder="1" applyAlignment="1">
      <alignment/>
    </xf>
    <xf numFmtId="3" fontId="29" fillId="0" borderId="109" xfId="0" applyNumberFormat="1" applyFont="1" applyBorder="1" applyAlignment="1">
      <alignment/>
    </xf>
    <xf numFmtId="0" fontId="16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2" fontId="5" fillId="0" borderId="71" xfId="0" applyNumberFormat="1" applyFont="1" applyBorder="1" applyAlignment="1">
      <alignment/>
    </xf>
    <xf numFmtId="2" fontId="5" fillId="0" borderId="43" xfId="0" applyNumberFormat="1" applyFont="1" applyBorder="1" applyAlignment="1">
      <alignment/>
    </xf>
    <xf numFmtId="2" fontId="6" fillId="0" borderId="53" xfId="0" applyNumberFormat="1" applyFont="1" applyBorder="1" applyAlignment="1">
      <alignment/>
    </xf>
    <xf numFmtId="0" fontId="6" fillId="0" borderId="53" xfId="0" applyFont="1" applyBorder="1" applyAlignment="1">
      <alignment/>
    </xf>
    <xf numFmtId="0" fontId="6" fillId="0" borderId="54" xfId="0" applyFont="1" applyBorder="1" applyAlignment="1">
      <alignment/>
    </xf>
    <xf numFmtId="0" fontId="6" fillId="0" borderId="28" xfId="0" applyFont="1" applyBorder="1" applyAlignment="1">
      <alignment/>
    </xf>
    <xf numFmtId="3" fontId="5" fillId="0" borderId="28" xfId="0" applyNumberFormat="1" applyFont="1" applyBorder="1" applyAlignment="1">
      <alignment/>
    </xf>
    <xf numFmtId="0" fontId="5" fillId="0" borderId="28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22">
      <alignment/>
      <protection/>
    </xf>
    <xf numFmtId="0" fontId="6" fillId="0" borderId="0" xfId="22" applyFont="1">
      <alignment/>
      <protection/>
    </xf>
    <xf numFmtId="0" fontId="7" fillId="0" borderId="0" xfId="22" applyFont="1">
      <alignment/>
      <protection/>
    </xf>
    <xf numFmtId="0" fontId="6" fillId="0" borderId="111" xfId="22" applyFont="1" applyBorder="1" applyAlignment="1">
      <alignment horizontal="center"/>
      <protection/>
    </xf>
    <xf numFmtId="0" fontId="6" fillId="0" borderId="112" xfId="22" applyFont="1" applyBorder="1" applyAlignment="1">
      <alignment horizontal="center"/>
      <protection/>
    </xf>
    <xf numFmtId="0" fontId="6" fillId="0" borderId="113" xfId="22" applyFont="1" applyBorder="1" applyAlignment="1">
      <alignment horizontal="center"/>
      <protection/>
    </xf>
    <xf numFmtId="0" fontId="6" fillId="0" borderId="114" xfId="22" applyFont="1" applyBorder="1" applyAlignment="1">
      <alignment horizontal="center"/>
      <protection/>
    </xf>
    <xf numFmtId="0" fontId="6" fillId="0" borderId="19" xfId="22" applyFont="1" applyBorder="1" applyAlignment="1">
      <alignment horizontal="center"/>
      <protection/>
    </xf>
    <xf numFmtId="0" fontId="6" fillId="0" borderId="115" xfId="22" applyFont="1" applyBorder="1" applyAlignment="1">
      <alignment horizontal="center"/>
      <protection/>
    </xf>
    <xf numFmtId="3" fontId="6" fillId="0" borderId="43" xfId="22" applyNumberFormat="1" applyFont="1" applyBorder="1" applyAlignment="1">
      <alignment horizontal="center"/>
      <protection/>
    </xf>
    <xf numFmtId="3" fontId="6" fillId="0" borderId="30" xfId="22" applyNumberFormat="1" applyFont="1" applyBorder="1" applyAlignment="1">
      <alignment horizontal="center"/>
      <protection/>
    </xf>
    <xf numFmtId="3" fontId="6" fillId="0" borderId="116" xfId="22" applyNumberFormat="1" applyFont="1" applyBorder="1" applyAlignment="1">
      <alignment horizontal="center"/>
      <protection/>
    </xf>
    <xf numFmtId="3" fontId="6" fillId="0" borderId="117" xfId="22" applyNumberFormat="1" applyFont="1" applyBorder="1" applyAlignment="1">
      <alignment horizontal="center"/>
      <protection/>
    </xf>
    <xf numFmtId="0" fontId="6" fillId="0" borderId="32" xfId="22" applyFont="1" applyBorder="1" applyAlignment="1">
      <alignment horizontal="center"/>
      <protection/>
    </xf>
    <xf numFmtId="3" fontId="6" fillId="0" borderId="10" xfId="22" applyNumberFormat="1" applyFont="1" applyBorder="1" applyAlignment="1">
      <alignment horizontal="center"/>
      <protection/>
    </xf>
    <xf numFmtId="3" fontId="6" fillId="0" borderId="2" xfId="22" applyNumberFormat="1" applyFont="1" applyBorder="1" applyAlignment="1">
      <alignment horizontal="center"/>
      <protection/>
    </xf>
    <xf numFmtId="3" fontId="6" fillId="0" borderId="118" xfId="22" applyNumberFormat="1" applyFont="1" applyBorder="1" applyAlignment="1">
      <alignment horizontal="center"/>
      <protection/>
    </xf>
    <xf numFmtId="3" fontId="6" fillId="0" borderId="46" xfId="22" applyNumberFormat="1" applyFont="1" applyBorder="1" applyAlignment="1">
      <alignment horizontal="center"/>
      <protection/>
    </xf>
    <xf numFmtId="0" fontId="6" fillId="0" borderId="6" xfId="22" applyFont="1" applyBorder="1" applyAlignment="1">
      <alignment horizontal="center"/>
      <protection/>
    </xf>
    <xf numFmtId="4" fontId="6" fillId="0" borderId="10" xfId="22" applyNumberFormat="1" applyFont="1" applyBorder="1" applyAlignment="1">
      <alignment horizontal="center"/>
      <protection/>
    </xf>
    <xf numFmtId="4" fontId="6" fillId="0" borderId="2" xfId="22" applyNumberFormat="1" applyFont="1" applyBorder="1" applyAlignment="1">
      <alignment horizontal="center"/>
      <protection/>
    </xf>
    <xf numFmtId="4" fontId="6" fillId="0" borderId="118" xfId="22" applyNumberFormat="1" applyFont="1" applyBorder="1" applyAlignment="1">
      <alignment horizontal="center"/>
      <protection/>
    </xf>
    <xf numFmtId="4" fontId="6" fillId="0" borderId="46" xfId="22" applyNumberFormat="1" applyFont="1" applyBorder="1" applyAlignment="1">
      <alignment horizontal="center"/>
      <protection/>
    </xf>
    <xf numFmtId="2" fontId="6" fillId="0" borderId="6" xfId="22" applyNumberFormat="1" applyFont="1" applyBorder="1" applyAlignment="1">
      <alignment horizontal="center"/>
      <protection/>
    </xf>
    <xf numFmtId="3" fontId="6" fillId="0" borderId="6" xfId="22" applyNumberFormat="1" applyFont="1" applyBorder="1" applyAlignment="1">
      <alignment horizontal="center"/>
      <protection/>
    </xf>
    <xf numFmtId="0" fontId="6" fillId="0" borderId="2" xfId="22" applyFont="1" applyBorder="1" applyAlignment="1">
      <alignment horizontal="center"/>
      <protection/>
    </xf>
    <xf numFmtId="0" fontId="6" fillId="0" borderId="46" xfId="22" applyFont="1" applyBorder="1" applyAlignment="1">
      <alignment horizontal="center"/>
      <protection/>
    </xf>
    <xf numFmtId="2" fontId="6" fillId="0" borderId="10" xfId="22" applyNumberFormat="1" applyFont="1" applyBorder="1" applyAlignment="1">
      <alignment horizontal="center"/>
      <protection/>
    </xf>
    <xf numFmtId="2" fontId="6" fillId="0" borderId="2" xfId="22" applyNumberFormat="1" applyFont="1" applyBorder="1" applyAlignment="1">
      <alignment horizontal="center"/>
      <protection/>
    </xf>
    <xf numFmtId="2" fontId="6" fillId="0" borderId="118" xfId="22" applyNumberFormat="1" applyFont="1" applyBorder="1" applyAlignment="1">
      <alignment horizontal="center"/>
      <protection/>
    </xf>
    <xf numFmtId="0" fontId="8" fillId="0" borderId="44" xfId="22" applyFont="1" applyBorder="1" applyAlignment="1">
      <alignment horizontal="left" vertical="center" wrapText="1"/>
      <protection/>
    </xf>
    <xf numFmtId="0" fontId="6" fillId="0" borderId="118" xfId="22" applyFont="1" applyBorder="1" applyAlignment="1">
      <alignment horizontal="center"/>
      <protection/>
    </xf>
    <xf numFmtId="0" fontId="8" fillId="0" borderId="42" xfId="22" applyFont="1" applyBorder="1" applyAlignment="1">
      <alignment wrapText="1"/>
      <protection/>
    </xf>
    <xf numFmtId="0" fontId="8" fillId="0" borderId="119" xfId="22" applyFont="1" applyBorder="1" applyAlignment="1">
      <alignment wrapText="1"/>
      <protection/>
    </xf>
    <xf numFmtId="3" fontId="6" fillId="0" borderId="120" xfId="22" applyNumberFormat="1" applyFont="1" applyBorder="1" applyAlignment="1">
      <alignment horizontal="center"/>
      <protection/>
    </xf>
    <xf numFmtId="3" fontId="6" fillId="0" borderId="3" xfId="22" applyNumberFormat="1" applyFont="1" applyBorder="1" applyAlignment="1">
      <alignment horizontal="center"/>
      <protection/>
    </xf>
    <xf numFmtId="0" fontId="6" fillId="0" borderId="3" xfId="22" applyFont="1" applyBorder="1" applyAlignment="1">
      <alignment horizontal="center"/>
      <protection/>
    </xf>
    <xf numFmtId="0" fontId="6" fillId="0" borderId="121" xfId="22" applyFont="1" applyBorder="1" applyAlignment="1">
      <alignment horizontal="center"/>
      <protection/>
    </xf>
    <xf numFmtId="3" fontId="6" fillId="0" borderId="122" xfId="22" applyNumberFormat="1" applyFont="1" applyBorder="1" applyAlignment="1">
      <alignment horizontal="center"/>
      <protection/>
    </xf>
    <xf numFmtId="3" fontId="6" fillId="0" borderId="7" xfId="22" applyNumberFormat="1" applyFont="1" applyBorder="1" applyAlignment="1">
      <alignment horizontal="center"/>
      <protection/>
    </xf>
    <xf numFmtId="0" fontId="24" fillId="0" borderId="0" xfId="22" applyFont="1">
      <alignment/>
      <protection/>
    </xf>
    <xf numFmtId="0" fontId="25" fillId="0" borderId="0" xfId="22" applyFont="1">
      <alignment/>
      <protection/>
    </xf>
    <xf numFmtId="0" fontId="4" fillId="0" borderId="0" xfId="22" applyFont="1">
      <alignment/>
      <protection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9" fillId="0" borderId="18" xfId="20" applyFont="1" applyBorder="1" applyAlignment="1">
      <alignment horizontal="center" vertical="center"/>
      <protection/>
    </xf>
    <xf numFmtId="0" fontId="4" fillId="0" borderId="18" xfId="20" applyBorder="1" applyAlignment="1">
      <alignment horizontal="center" vertical="center"/>
      <protection/>
    </xf>
    <xf numFmtId="0" fontId="4" fillId="0" borderId="18" xfId="20" applyBorder="1" applyAlignment="1">
      <alignment horizontal="center" vertical="center" wrapText="1"/>
      <protection/>
    </xf>
    <xf numFmtId="0" fontId="4" fillId="0" borderId="18" xfId="20" applyBorder="1" applyAlignment="1">
      <alignment/>
      <protection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23" xfId="0" applyFont="1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22" fillId="0" borderId="126" xfId="0" applyFont="1" applyBorder="1" applyAlignment="1">
      <alignment horizontal="center" vertical="center" wrapText="1"/>
    </xf>
    <xf numFmtId="0" fontId="23" fillId="0" borderId="127" xfId="0" applyFont="1" applyBorder="1" applyAlignment="1">
      <alignment horizontal="center" vertical="center" wrapText="1"/>
    </xf>
    <xf numFmtId="0" fontId="23" fillId="0" borderId="91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3" fillId="0" borderId="130" xfId="0" applyFont="1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8" fillId="0" borderId="133" xfId="21" applyFont="1" applyBorder="1" applyAlignment="1">
      <alignment/>
      <protection/>
    </xf>
    <xf numFmtId="0" fontId="4" fillId="0" borderId="134" xfId="21" applyBorder="1" applyAlignment="1">
      <alignment/>
      <protection/>
    </xf>
    <xf numFmtId="0" fontId="4" fillId="0" borderId="135" xfId="21" applyBorder="1" applyAlignment="1">
      <alignment/>
      <protection/>
    </xf>
    <xf numFmtId="0" fontId="32" fillId="0" borderId="90" xfId="21" applyFont="1" applyBorder="1" applyAlignment="1">
      <alignment horizontal="center" vertical="center" wrapText="1"/>
      <protection/>
    </xf>
    <xf numFmtId="0" fontId="4" fillId="0" borderId="127" xfId="21" applyBorder="1" applyAlignment="1">
      <alignment horizontal="center" vertical="center"/>
      <protection/>
    </xf>
    <xf numFmtId="0" fontId="4" fillId="0" borderId="91" xfId="21" applyBorder="1" applyAlignment="1">
      <alignment horizontal="center" vertical="center"/>
      <protection/>
    </xf>
    <xf numFmtId="0" fontId="32" fillId="0" borderId="90" xfId="21" applyFont="1" applyBorder="1" applyAlignment="1">
      <alignment horizontal="center" vertical="center"/>
      <protection/>
    </xf>
    <xf numFmtId="0" fontId="32" fillId="0" borderId="55" xfId="21" applyFont="1" applyBorder="1" applyAlignment="1">
      <alignment horizontal="center" vertical="center"/>
      <protection/>
    </xf>
    <xf numFmtId="0" fontId="4" fillId="0" borderId="128" xfId="21" applyBorder="1" applyAlignment="1">
      <alignment horizontal="center" vertical="center"/>
      <protection/>
    </xf>
    <xf numFmtId="0" fontId="4" fillId="0" borderId="56" xfId="21" applyBorder="1" applyAlignment="1">
      <alignment horizontal="center" vertical="center"/>
      <protection/>
    </xf>
    <xf numFmtId="0" fontId="32" fillId="0" borderId="55" xfId="21" applyFont="1" applyBorder="1" applyAlignment="1">
      <alignment horizontal="center" vertical="center"/>
      <protection/>
    </xf>
    <xf numFmtId="0" fontId="32" fillId="0" borderId="128" xfId="21" applyFont="1" applyBorder="1" applyAlignment="1">
      <alignment horizontal="center" vertical="center"/>
      <protection/>
    </xf>
    <xf numFmtId="0" fontId="32" fillId="0" borderId="56" xfId="21" applyFont="1" applyBorder="1" applyAlignment="1">
      <alignment horizontal="center" vertical="center"/>
      <protection/>
    </xf>
    <xf numFmtId="0" fontId="8" fillId="0" borderId="90" xfId="21" applyFont="1" applyBorder="1" applyAlignment="1">
      <alignment horizontal="center" vertical="center" wrapText="1"/>
      <protection/>
    </xf>
    <xf numFmtId="0" fontId="8" fillId="0" borderId="127" xfId="21" applyFont="1" applyBorder="1" applyAlignment="1">
      <alignment horizontal="center" vertical="center"/>
      <protection/>
    </xf>
    <xf numFmtId="0" fontId="8" fillId="0" borderId="91" xfId="21" applyFont="1" applyBorder="1" applyAlignment="1">
      <alignment horizontal="center" vertical="center"/>
      <protection/>
    </xf>
    <xf numFmtId="0" fontId="4" fillId="0" borderId="127" xfId="21" applyBorder="1" applyAlignment="1">
      <alignment horizontal="center" vertical="center" wrapText="1"/>
      <protection/>
    </xf>
    <xf numFmtId="0" fontId="4" fillId="0" borderId="91" xfId="21" applyBorder="1" applyAlignment="1">
      <alignment horizontal="center" vertical="center" wrapText="1"/>
      <protection/>
    </xf>
    <xf numFmtId="0" fontId="6" fillId="0" borderId="136" xfId="0" applyFont="1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0" fillId="0" borderId="138" xfId="0" applyBorder="1" applyAlignment="1">
      <alignment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128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8" fillId="0" borderId="139" xfId="22" applyFont="1" applyBorder="1" applyAlignment="1">
      <alignment/>
      <protection/>
    </xf>
    <xf numFmtId="0" fontId="4" fillId="0" borderId="140" xfId="22" applyFont="1" applyBorder="1" applyAlignment="1">
      <alignment/>
      <protection/>
    </xf>
    <xf numFmtId="0" fontId="8" fillId="0" borderId="141" xfId="22" applyFont="1" applyBorder="1" applyAlignment="1">
      <alignment/>
      <protection/>
    </xf>
    <xf numFmtId="0" fontId="4" fillId="0" borderId="42" xfId="22" applyFont="1" applyBorder="1" applyAlignment="1">
      <alignment/>
      <protection/>
    </xf>
    <xf numFmtId="0" fontId="8" fillId="0" borderId="34" xfId="22" applyFont="1" applyBorder="1" applyAlignment="1">
      <alignment horizontal="center" vertical="center" textRotation="90" wrapText="1"/>
      <protection/>
    </xf>
    <xf numFmtId="0" fontId="8" fillId="0" borderId="76" xfId="22" applyFont="1" applyBorder="1" applyAlignment="1">
      <alignment horizontal="center" vertical="center" textRotation="90" wrapText="1"/>
      <protection/>
    </xf>
    <xf numFmtId="0" fontId="8" fillId="0" borderId="40" xfId="22" applyFont="1" applyBorder="1" applyAlignment="1">
      <alignment/>
      <protection/>
    </xf>
    <xf numFmtId="0" fontId="4" fillId="0" borderId="41" xfId="22" applyFont="1" applyBorder="1" applyAlignment="1">
      <alignment/>
      <protection/>
    </xf>
    <xf numFmtId="0" fontId="8" fillId="0" borderId="45" xfId="22" applyFont="1" applyBorder="1" applyAlignment="1">
      <alignment/>
      <protection/>
    </xf>
    <xf numFmtId="0" fontId="4" fillId="0" borderId="44" xfId="22" applyFont="1" applyBorder="1" applyAlignment="1">
      <alignment/>
      <protection/>
    </xf>
    <xf numFmtId="0" fontId="39" fillId="0" borderId="0" xfId="22" applyFont="1" applyAlignment="1">
      <alignment horizontal="center"/>
      <protection/>
    </xf>
    <xf numFmtId="0" fontId="4" fillId="0" borderId="0" xfId="22" applyAlignment="1">
      <alignment/>
      <protection/>
    </xf>
    <xf numFmtId="0" fontId="4" fillId="0" borderId="42" xfId="22" applyBorder="1" applyAlignment="1">
      <alignment/>
      <protection/>
    </xf>
    <xf numFmtId="0" fontId="7" fillId="0" borderId="65" xfId="22" applyFont="1" applyBorder="1" applyAlignment="1">
      <alignment horizontal="center" vertical="center"/>
      <protection/>
    </xf>
    <xf numFmtId="0" fontId="4" fillId="0" borderId="66" xfId="22" applyBorder="1" applyAlignment="1">
      <alignment/>
      <protection/>
    </xf>
    <xf numFmtId="0" fontId="4" fillId="0" borderId="40" xfId="22" applyBorder="1" applyAlignment="1">
      <alignment/>
      <protection/>
    </xf>
    <xf numFmtId="0" fontId="4" fillId="0" borderId="41" xfId="22" applyBorder="1" applyAlignment="1">
      <alignment/>
      <protection/>
    </xf>
    <xf numFmtId="0" fontId="8" fillId="0" borderId="142" xfId="22" applyFont="1" applyBorder="1" applyAlignment="1">
      <alignment/>
      <protection/>
    </xf>
    <xf numFmtId="0" fontId="4" fillId="0" borderId="74" xfId="22" applyFont="1" applyBorder="1" applyAlignment="1">
      <alignment/>
      <protection/>
    </xf>
    <xf numFmtId="0" fontId="7" fillId="0" borderId="14" xfId="22" applyFont="1" applyBorder="1" applyAlignment="1">
      <alignment horizontal="center" vertical="center"/>
      <protection/>
    </xf>
    <xf numFmtId="0" fontId="7" fillId="0" borderId="19" xfId="22" applyFont="1" applyBorder="1" applyAlignment="1">
      <alignment horizontal="center" vertical="center"/>
      <protection/>
    </xf>
    <xf numFmtId="0" fontId="4" fillId="0" borderId="19" xfId="22" applyBorder="1" applyAlignment="1">
      <alignment/>
      <protection/>
    </xf>
    <xf numFmtId="0" fontId="4" fillId="0" borderId="15" xfId="22" applyBorder="1" applyAlignment="1">
      <alignment/>
      <protection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tabuľka  3 09 pozastavený predaj" xfId="20"/>
    <cellStyle name="normálne_tabuľka  5  09 vzorky" xfId="21"/>
    <cellStyle name="normálne_tabuľka 10 sumár 2000-2009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elenaH\Desktop\V&#253;ro&#269;n&#233;%20Spr&#225;vy%200,1,2,3,4,5,6,7,8,9\V&#253;ro&#269;n&#225;%20spr&#225;va%202008\PODKLADY\s&#357;a&#382;nosti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árok1"/>
      <sheetName val="Hárok2"/>
      <sheetName val="Hárok3"/>
    </sheetNames>
    <sheetDataSet>
      <sheetData sheetId="0">
        <row r="3">
          <cell r="B3" t="str">
            <v>ostatný priemyselný tovar</v>
          </cell>
        </row>
        <row r="4">
          <cell r="B4" t="str">
            <v>pohostinské prevádzkarne</v>
          </cell>
          <cell r="C4">
            <v>196</v>
          </cell>
        </row>
        <row r="5">
          <cell r="B5" t="str">
            <v>iné služby </v>
          </cell>
          <cell r="C5">
            <v>270</v>
          </cell>
        </row>
        <row r="6">
          <cell r="B6" t="str">
            <v>potraviny</v>
          </cell>
          <cell r="C6">
            <v>325</v>
          </cell>
        </row>
        <row r="7">
          <cell r="B7" t="str">
            <v>textil, odevy </v>
          </cell>
          <cell r="C7">
            <v>284</v>
          </cell>
        </row>
        <row r="8">
          <cell r="B8" t="str">
            <v>rozvod energií</v>
          </cell>
          <cell r="C8">
            <v>185</v>
          </cell>
        </row>
        <row r="9">
          <cell r="B9" t="str">
            <v>zmiešaný tovar </v>
          </cell>
          <cell r="C9">
            <v>152</v>
          </cell>
        </row>
        <row r="10">
          <cell r="B10" t="str">
            <v>spotrebná elektronika</v>
          </cell>
          <cell r="C10">
            <v>193</v>
          </cell>
        </row>
        <row r="11">
          <cell r="B11" t="str">
            <v>cestovné kancelárie</v>
          </cell>
          <cell r="C11">
            <v>146</v>
          </cell>
        </row>
        <row r="12">
          <cell r="B12" t="str">
            <v>nábytok</v>
          </cell>
          <cell r="C12">
            <v>118</v>
          </cell>
        </row>
        <row r="13">
          <cell r="B13" t="str">
            <v>stavebný materiál</v>
          </cell>
          <cell r="C13">
            <v>94</v>
          </cell>
        </row>
        <row r="14">
          <cell r="B14" t="str">
            <v>telekomunikácie 644-mobily</v>
          </cell>
          <cell r="C14">
            <v>146</v>
          </cell>
        </row>
        <row r="15">
          <cell r="B15" t="str">
            <v>elektrospotrebiče</v>
          </cell>
          <cell r="C15">
            <v>122</v>
          </cell>
        </row>
        <row r="16">
          <cell r="B16" t="str">
            <v>predaj motorových vozidiel</v>
          </cell>
        </row>
        <row r="17">
          <cell r="B17" t="str">
            <v>stavebné služby</v>
          </cell>
          <cell r="C17">
            <v>98</v>
          </cell>
        </row>
        <row r="18">
          <cell r="B18" t="str">
            <v>ovocie-zelenina</v>
          </cell>
          <cell r="C18">
            <v>42</v>
          </cell>
        </row>
        <row r="19">
          <cell r="B19" t="str">
            <v>športové potreby </v>
          </cell>
          <cell r="C19">
            <v>69</v>
          </cell>
        </row>
        <row r="20">
          <cell r="B20" t="str">
            <v>pohonné hmoty</v>
          </cell>
          <cell r="C20">
            <v>23</v>
          </cell>
        </row>
        <row r="21">
          <cell r="B21" t="str">
            <v>zlatníctvo</v>
          </cell>
          <cell r="C21">
            <v>42</v>
          </cell>
        </row>
        <row r="22">
          <cell r="B22" t="str">
            <v>telekomunikácie 642</v>
          </cell>
          <cell r="C22">
            <v>0</v>
          </cell>
        </row>
        <row r="23">
          <cell r="B23" t="str">
            <v>mäso-údeniny</v>
          </cell>
        </row>
        <row r="24">
          <cell r="B24" t="str">
            <v>oprava motorových vozidiel</v>
          </cell>
        </row>
        <row r="25">
          <cell r="B25" t="str">
            <v>kozmetika-drogéria</v>
          </cell>
        </row>
        <row r="26">
          <cell r="B26" t="str">
            <v>tabak</v>
          </cell>
        </row>
        <row r="27">
          <cell r="B27" t="str">
            <v>PNS, tlač</v>
          </cell>
        </row>
        <row r="28">
          <cell r="B28" t="str">
            <v>pyrotechnické výrobky</v>
          </cell>
        </row>
        <row r="29">
          <cell r="B29" t="str">
            <v>osivá, sadivá, záhr. Potreby</v>
          </cell>
        </row>
        <row r="30">
          <cell r="B30" t="str">
            <v>montáž a výroba plast. okien</v>
          </cell>
          <cell r="C30">
            <v>29</v>
          </cell>
        </row>
        <row r="31">
          <cell r="B31" t="str">
            <v>zásielkový predaj </v>
          </cell>
        </row>
        <row r="32">
          <cell r="B32" t="str">
            <v>čistiarne, práčovne</v>
          </cell>
          <cell r="C32">
            <v>32</v>
          </cell>
        </row>
        <row r="33">
          <cell r="B33" t="str">
            <v>hostinec, bistro, bufet</v>
          </cell>
          <cell r="C33">
            <v>132</v>
          </cell>
        </row>
        <row r="34">
          <cell r="B34" t="str">
            <v>kuchynské potreby</v>
          </cell>
          <cell r="C34">
            <v>29</v>
          </cell>
        </row>
        <row r="35">
          <cell r="B35" t="str">
            <v>kožená gal.</v>
          </cell>
          <cell r="C35">
            <v>23</v>
          </cell>
        </row>
        <row r="36">
          <cell r="B36" t="str">
            <v>bytové doplnky</v>
          </cell>
          <cell r="C36">
            <v>20</v>
          </cell>
        </row>
        <row r="37">
          <cell r="B37" t="str">
            <v>oprava elektrospotrebičov</v>
          </cell>
          <cell r="C37">
            <v>17</v>
          </cell>
        </row>
        <row r="38">
          <cell r="B38" t="str">
            <v>cukráreň </v>
          </cell>
        </row>
        <row r="39">
          <cell r="B39" t="str">
            <v>foto</v>
          </cell>
        </row>
        <row r="40">
          <cell r="B40" t="str">
            <v>hračky</v>
          </cell>
        </row>
        <row r="41">
          <cell r="B41" t="str">
            <v>kaderníctvo</v>
          </cell>
        </row>
        <row r="42">
          <cell r="B42" t="str">
            <v>klenoty</v>
          </cell>
        </row>
        <row r="43">
          <cell r="B43" t="str">
            <v>kožušiny</v>
          </cell>
        </row>
        <row r="44">
          <cell r="B44" t="str">
            <v>kvety</v>
          </cell>
        </row>
        <row r="45">
          <cell r="B45" t="str">
            <v>lahôdky</v>
          </cell>
        </row>
        <row r="46">
          <cell r="B46" t="str">
            <v>lieky, liečivá</v>
          </cell>
        </row>
        <row r="47">
          <cell r="B47" t="str">
            <v>oprava mot.vozidiel</v>
          </cell>
        </row>
        <row r="48">
          <cell r="B48" t="str">
            <v>oprava obuvi</v>
          </cell>
        </row>
        <row r="49">
          <cell r="B49" t="str">
            <v>oprava spotr. elektroniky</v>
          </cell>
        </row>
        <row r="50">
          <cell r="B50" t="str">
            <v>ost. priemyselný tovar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R40"/>
  <sheetViews>
    <sheetView tabSelected="1" workbookViewId="0" topLeftCell="A3">
      <selection activeCell="H7" sqref="H7"/>
    </sheetView>
  </sheetViews>
  <sheetFormatPr defaultColWidth="9.140625" defaultRowHeight="12.75"/>
  <cols>
    <col min="2" max="2" width="23.00390625" style="0" customWidth="1"/>
    <col min="3" max="3" width="13.421875" style="0" customWidth="1"/>
    <col min="4" max="4" width="12.140625" style="0" customWidth="1"/>
    <col min="5" max="5" width="12.8515625" style="0" customWidth="1"/>
    <col min="6" max="6" width="12.57421875" style="0" customWidth="1"/>
    <col min="7" max="7" width="12.8515625" style="0" customWidth="1"/>
    <col min="8" max="8" width="14.7109375" style="0" customWidth="1"/>
    <col min="10" max="10" width="11.7109375" style="0" bestFit="1" customWidth="1"/>
  </cols>
  <sheetData>
    <row r="3" ht="18">
      <c r="B3" s="16" t="s">
        <v>16</v>
      </c>
    </row>
    <row r="5" ht="31.5" customHeight="1" thickBot="1">
      <c r="B5" s="13" t="s">
        <v>0</v>
      </c>
    </row>
    <row r="6" spans="2:44" ht="39.75" thickBot="1" thickTop="1">
      <c r="B6" s="24" t="s">
        <v>1</v>
      </c>
      <c r="C6" s="22" t="s">
        <v>2</v>
      </c>
      <c r="D6" s="12" t="s">
        <v>3</v>
      </c>
      <c r="E6" s="12" t="s">
        <v>4</v>
      </c>
      <c r="F6" s="12" t="s">
        <v>5</v>
      </c>
      <c r="G6" s="12" t="s">
        <v>17</v>
      </c>
      <c r="H6" s="17" t="s">
        <v>18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2:31" ht="24.75" customHeight="1" thickTop="1">
      <c r="B7" s="25" t="s">
        <v>6</v>
      </c>
      <c r="C7" s="23">
        <v>5448</v>
      </c>
      <c r="D7" s="6">
        <v>3085</v>
      </c>
      <c r="E7" s="6">
        <v>56</v>
      </c>
      <c r="F7" s="7">
        <f aca="true" t="shared" si="0" ref="F7:F15">E7/D7*100</f>
        <v>1.8152350081037278</v>
      </c>
      <c r="G7" s="8">
        <v>0.2</v>
      </c>
      <c r="H7" s="18">
        <f>121414</f>
        <v>121414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1"/>
      <c r="AC7" s="1"/>
      <c r="AD7" s="1"/>
      <c r="AE7" s="1"/>
    </row>
    <row r="8" spans="2:31" ht="24.75" customHeight="1">
      <c r="B8" s="25" t="s">
        <v>7</v>
      </c>
      <c r="C8" s="23">
        <v>3924</v>
      </c>
      <c r="D8" s="6">
        <v>2565</v>
      </c>
      <c r="E8" s="6">
        <v>37</v>
      </c>
      <c r="F8" s="7">
        <f t="shared" si="0"/>
        <v>1.442495126705653</v>
      </c>
      <c r="G8" s="8">
        <v>0.8</v>
      </c>
      <c r="H8" s="18">
        <v>365541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1"/>
      <c r="AC8" s="1"/>
      <c r="AD8" s="1"/>
      <c r="AE8" s="1"/>
    </row>
    <row r="9" spans="2:31" ht="24.75" customHeight="1">
      <c r="B9" s="25" t="s">
        <v>8</v>
      </c>
      <c r="C9" s="23">
        <v>4870</v>
      </c>
      <c r="D9" s="6">
        <v>3057</v>
      </c>
      <c r="E9" s="6">
        <v>116</v>
      </c>
      <c r="F9" s="7">
        <f t="shared" si="0"/>
        <v>3.7945698397121363</v>
      </c>
      <c r="G9" s="8">
        <v>0.4</v>
      </c>
      <c r="H9" s="18">
        <v>465547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1"/>
      <c r="AC9" s="1"/>
      <c r="AD9" s="1"/>
      <c r="AE9" s="1"/>
    </row>
    <row r="10" spans="2:31" ht="24.75" customHeight="1">
      <c r="B10" s="25" t="s">
        <v>9</v>
      </c>
      <c r="C10" s="23">
        <v>4585</v>
      </c>
      <c r="D10" s="6">
        <v>1491</v>
      </c>
      <c r="E10" s="6">
        <v>32</v>
      </c>
      <c r="F10" s="7">
        <f t="shared" si="0"/>
        <v>2.1462105969148224</v>
      </c>
      <c r="G10" s="8">
        <v>0.2</v>
      </c>
      <c r="H10" s="18">
        <v>1191303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1"/>
      <c r="AC10" s="1"/>
      <c r="AD10" s="1"/>
      <c r="AE10" s="1"/>
    </row>
    <row r="11" spans="2:31" ht="24.75" customHeight="1">
      <c r="B11" s="25" t="s">
        <v>10</v>
      </c>
      <c r="C11" s="23">
        <v>5282</v>
      </c>
      <c r="D11" s="6">
        <v>3296</v>
      </c>
      <c r="E11" s="6">
        <v>37</v>
      </c>
      <c r="F11" s="7">
        <f t="shared" si="0"/>
        <v>1.1225728155339807</v>
      </c>
      <c r="G11" s="8">
        <v>0</v>
      </c>
      <c r="H11" s="18">
        <v>466026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1"/>
      <c r="AC11" s="1"/>
      <c r="AD11" s="1"/>
      <c r="AE11" s="1"/>
    </row>
    <row r="12" spans="2:31" ht="24.75" customHeight="1">
      <c r="B12" s="25" t="s">
        <v>11</v>
      </c>
      <c r="C12" s="23">
        <v>5083</v>
      </c>
      <c r="D12" s="6">
        <v>2823</v>
      </c>
      <c r="E12" s="6">
        <v>119</v>
      </c>
      <c r="F12" s="7">
        <f t="shared" si="0"/>
        <v>4.2153737159050655</v>
      </c>
      <c r="G12" s="8">
        <v>1.1</v>
      </c>
      <c r="H12" s="18">
        <v>314409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1"/>
      <c r="AC12" s="1"/>
      <c r="AD12" s="1"/>
      <c r="AE12" s="1"/>
    </row>
    <row r="13" spans="2:31" ht="24.75" customHeight="1">
      <c r="B13" s="25" t="s">
        <v>12</v>
      </c>
      <c r="C13" s="23">
        <v>8815</v>
      </c>
      <c r="D13" s="6">
        <v>5108</v>
      </c>
      <c r="E13" s="6">
        <v>66</v>
      </c>
      <c r="F13" s="7">
        <f t="shared" si="0"/>
        <v>1.2920908379013312</v>
      </c>
      <c r="G13" s="8">
        <v>0</v>
      </c>
      <c r="H13" s="18">
        <v>356502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1"/>
      <c r="AC13" s="1"/>
      <c r="AD13" s="1"/>
      <c r="AE13" s="1"/>
    </row>
    <row r="14" spans="2:31" ht="24.75" customHeight="1" thickBot="1">
      <c r="B14" s="26" t="s">
        <v>13</v>
      </c>
      <c r="C14" s="23">
        <v>10055</v>
      </c>
      <c r="D14" s="6">
        <v>6038</v>
      </c>
      <c r="E14" s="6">
        <v>40</v>
      </c>
      <c r="F14" s="7">
        <f t="shared" si="0"/>
        <v>0.6624710168930109</v>
      </c>
      <c r="G14" s="8">
        <v>0.7</v>
      </c>
      <c r="H14" s="18">
        <v>323056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1"/>
      <c r="AC14" s="1"/>
      <c r="AD14" s="1"/>
      <c r="AE14" s="1"/>
    </row>
    <row r="15" spans="2:31" ht="24.75" customHeight="1" thickBot="1" thickTop="1">
      <c r="B15" s="21" t="s">
        <v>15</v>
      </c>
      <c r="C15" s="14">
        <f>SUM(C7:C14)</f>
        <v>48062</v>
      </c>
      <c r="D15" s="14">
        <f>SUM(D7:D14)</f>
        <v>27463</v>
      </c>
      <c r="E15" s="14">
        <f>SUM(E7:E14)</f>
        <v>503</v>
      </c>
      <c r="F15" s="15">
        <f t="shared" si="0"/>
        <v>1.8315551833375816</v>
      </c>
      <c r="G15" s="15">
        <v>0.5</v>
      </c>
      <c r="H15" s="19">
        <f>SUM(H7:H14)</f>
        <v>3603798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1"/>
      <c r="AC15" s="1"/>
      <c r="AD15" s="1"/>
      <c r="AE15" s="1"/>
    </row>
    <row r="16" spans="2:31" ht="24.75" customHeight="1" thickBot="1" thickTop="1">
      <c r="B16" s="3" t="s">
        <v>14</v>
      </c>
      <c r="C16" s="9">
        <v>36794</v>
      </c>
      <c r="D16" s="10">
        <v>16234</v>
      </c>
      <c r="E16" s="10">
        <v>446</v>
      </c>
      <c r="F16" s="11">
        <v>2.75</v>
      </c>
      <c r="G16" s="11">
        <v>0.3</v>
      </c>
      <c r="H16" s="20">
        <v>8269831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4"/>
      <c r="W16" s="4"/>
      <c r="X16" s="4"/>
      <c r="Y16" s="4"/>
      <c r="Z16" s="4"/>
      <c r="AA16" s="4"/>
      <c r="AB16" s="1"/>
      <c r="AC16" s="1"/>
      <c r="AD16" s="1"/>
      <c r="AE16" s="1"/>
    </row>
    <row r="17" spans="2:31" ht="13.5" thickTop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2:31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2:31" ht="12.75">
      <c r="B19" s="1"/>
      <c r="C19" s="1"/>
      <c r="D19" s="1"/>
      <c r="E19" s="1"/>
      <c r="F19" s="1"/>
      <c r="G19" s="1"/>
      <c r="H19" s="4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2:31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2:31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2:31" ht="12.75">
      <c r="B22" s="1"/>
      <c r="C22" s="1"/>
      <c r="D22" s="1"/>
      <c r="E22" s="1"/>
      <c r="F22" s="1"/>
      <c r="G22" s="1"/>
      <c r="H22" s="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2:31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2:31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2:31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2:31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2:31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2:31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2:31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2:31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2:31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2:31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2:31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2:31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2:31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2:31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2:31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2:31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2:31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2:31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</sheetData>
  <printOptions horizontalCentered="1" verticalCentered="1"/>
  <pageMargins left="0.7874015748031497" right="1.1811023622047245" top="0.984251968503937" bottom="1.574803149606299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V22"/>
  <sheetViews>
    <sheetView zoomScale="75" zoomScaleNormal="75" workbookViewId="0" topLeftCell="A2">
      <selection activeCell="B6" sqref="B6"/>
    </sheetView>
  </sheetViews>
  <sheetFormatPr defaultColWidth="9.140625" defaultRowHeight="12.75"/>
  <cols>
    <col min="1" max="1" width="2.28125" style="0" customWidth="1"/>
    <col min="2" max="2" width="26.421875" style="0" customWidth="1"/>
    <col min="3" max="3" width="7.140625" style="0" customWidth="1"/>
    <col min="4" max="4" width="8.28125" style="0" customWidth="1"/>
    <col min="5" max="5" width="7.140625" style="0" customWidth="1"/>
    <col min="6" max="6" width="8.28125" style="0" customWidth="1"/>
    <col min="7" max="7" width="7.140625" style="0" customWidth="1"/>
    <col min="8" max="8" width="8.28125" style="0" customWidth="1"/>
    <col min="9" max="9" width="7.140625" style="0" customWidth="1"/>
    <col min="10" max="10" width="8.28125" style="0" customWidth="1"/>
    <col min="11" max="11" width="7.140625" style="0" customWidth="1"/>
    <col min="12" max="12" width="8.28125" style="0" customWidth="1"/>
    <col min="13" max="13" width="9.28125" style="0" customWidth="1"/>
    <col min="14" max="14" width="9.421875" style="0" customWidth="1"/>
    <col min="15" max="15" width="7.140625" style="0" customWidth="1"/>
    <col min="16" max="16" width="8.28125" style="0" customWidth="1"/>
    <col min="17" max="17" width="7.7109375" style="0" customWidth="1"/>
    <col min="18" max="20" width="8.28125" style="0" customWidth="1"/>
  </cols>
  <sheetData>
    <row r="5" spans="6:16" ht="23.25">
      <c r="F5" s="345" t="s">
        <v>19</v>
      </c>
      <c r="G5" s="346"/>
      <c r="H5" s="346"/>
      <c r="I5" s="346"/>
      <c r="J5" s="346"/>
      <c r="K5" s="346"/>
      <c r="L5" s="346"/>
      <c r="M5" s="346"/>
      <c r="N5" s="346"/>
      <c r="O5" s="346"/>
      <c r="P5" s="346"/>
    </row>
    <row r="6" spans="6:16" ht="23.25">
      <c r="F6" s="347" t="s">
        <v>20</v>
      </c>
      <c r="G6" s="346"/>
      <c r="H6" s="346"/>
      <c r="I6" s="346"/>
      <c r="J6" s="346"/>
      <c r="K6" s="346"/>
      <c r="L6" s="346"/>
      <c r="M6" s="346"/>
      <c r="N6" s="346"/>
      <c r="O6" s="346"/>
      <c r="P6" s="346"/>
    </row>
    <row r="7" ht="16.5" customHeight="1">
      <c r="E7" s="27"/>
    </row>
    <row r="8" spans="4:5" ht="16.5" customHeight="1">
      <c r="D8" s="28"/>
      <c r="E8" s="29" t="s">
        <v>21</v>
      </c>
    </row>
    <row r="10" ht="18.75" thickBot="1">
      <c r="B10" s="30" t="s">
        <v>22</v>
      </c>
    </row>
    <row r="11" spans="2:20" ht="19.5" customHeight="1" thickBot="1" thickTop="1">
      <c r="B11" s="31" t="s">
        <v>23</v>
      </c>
      <c r="C11" s="32" t="s">
        <v>6</v>
      </c>
      <c r="D11" s="33"/>
      <c r="E11" s="32" t="s">
        <v>24</v>
      </c>
      <c r="F11" s="33"/>
      <c r="G11" s="32" t="s">
        <v>25</v>
      </c>
      <c r="H11" s="33"/>
      <c r="I11" s="32" t="s">
        <v>26</v>
      </c>
      <c r="J11" s="33"/>
      <c r="K11" s="32" t="s">
        <v>27</v>
      </c>
      <c r="L11" s="33"/>
      <c r="M11" s="34" t="s">
        <v>11</v>
      </c>
      <c r="N11" s="33"/>
      <c r="O11" s="35" t="s">
        <v>28</v>
      </c>
      <c r="P11" s="36"/>
      <c r="Q11" s="37" t="s">
        <v>29</v>
      </c>
      <c r="R11" s="38"/>
      <c r="S11" s="39" t="s">
        <v>30</v>
      </c>
      <c r="T11" s="33"/>
    </row>
    <row r="12" spans="2:20" ht="19.5" customHeight="1" thickBot="1" thickTop="1">
      <c r="B12" s="40" t="s">
        <v>31</v>
      </c>
      <c r="C12" s="41" t="s">
        <v>32</v>
      </c>
      <c r="D12" s="42" t="s">
        <v>33</v>
      </c>
      <c r="E12" s="41" t="s">
        <v>32</v>
      </c>
      <c r="F12" s="41" t="s">
        <v>33</v>
      </c>
      <c r="G12" s="41" t="s">
        <v>32</v>
      </c>
      <c r="H12" s="41" t="s">
        <v>33</v>
      </c>
      <c r="I12" s="41" t="s">
        <v>32</v>
      </c>
      <c r="J12" s="41" t="s">
        <v>33</v>
      </c>
      <c r="K12" s="41" t="s">
        <v>32</v>
      </c>
      <c r="L12" s="41" t="s">
        <v>34</v>
      </c>
      <c r="M12" s="41" t="s">
        <v>32</v>
      </c>
      <c r="N12" s="41" t="s">
        <v>35</v>
      </c>
      <c r="O12" s="41" t="s">
        <v>32</v>
      </c>
      <c r="P12" s="41" t="s">
        <v>36</v>
      </c>
      <c r="Q12" s="41" t="s">
        <v>32</v>
      </c>
      <c r="R12" s="41" t="s">
        <v>33</v>
      </c>
      <c r="S12" s="41" t="s">
        <v>32</v>
      </c>
      <c r="T12" s="43" t="s">
        <v>33</v>
      </c>
    </row>
    <row r="13" spans="2:20" ht="34.5" customHeight="1" thickTop="1">
      <c r="B13" s="44" t="s">
        <v>37</v>
      </c>
      <c r="C13" s="45">
        <v>627</v>
      </c>
      <c r="D13" s="46">
        <f>C13/C20*100</f>
        <v>11.508810572687226</v>
      </c>
      <c r="E13" s="45">
        <v>628</v>
      </c>
      <c r="F13" s="46">
        <f>E13/E20*100</f>
        <v>16.004077471967378</v>
      </c>
      <c r="G13" s="47">
        <v>299</v>
      </c>
      <c r="H13" s="46">
        <f>G13/G20*100</f>
        <v>6.139630390143737</v>
      </c>
      <c r="I13" s="45">
        <v>383</v>
      </c>
      <c r="J13" s="46">
        <f>I13/I20*100</f>
        <v>8.353326063249728</v>
      </c>
      <c r="K13" s="48">
        <v>813</v>
      </c>
      <c r="L13" s="46">
        <f>K13/K20*100</f>
        <v>15.39189700870882</v>
      </c>
      <c r="M13" s="45">
        <v>308</v>
      </c>
      <c r="N13" s="46">
        <f>M13/M20*100</f>
        <v>6.059413732048003</v>
      </c>
      <c r="O13" s="45">
        <v>1930</v>
      </c>
      <c r="P13" s="46">
        <f>O13*100/O20</f>
        <v>21.89449801474759</v>
      </c>
      <c r="Q13" s="45">
        <v>1516</v>
      </c>
      <c r="R13" s="49">
        <f>100/Q20*Q13</f>
        <v>15.077076081551466</v>
      </c>
      <c r="S13" s="50">
        <f aca="true" t="shared" si="0" ref="S13:S19">C13+E13+G13+I13+K13+M13+O13+Q13</f>
        <v>6504</v>
      </c>
      <c r="T13" s="51">
        <f>S13/S20*100</f>
        <v>13.53252049436145</v>
      </c>
    </row>
    <row r="14" spans="2:20" ht="34.5" customHeight="1">
      <c r="B14" s="44" t="s">
        <v>38</v>
      </c>
      <c r="C14" s="45">
        <v>30</v>
      </c>
      <c r="D14" s="46">
        <f>C14/C20*100</f>
        <v>0.5506607929515419</v>
      </c>
      <c r="E14" s="45">
        <v>185</v>
      </c>
      <c r="F14" s="46">
        <f>E14/E20*100</f>
        <v>4.714576962283385</v>
      </c>
      <c r="G14" s="45">
        <v>377</v>
      </c>
      <c r="H14" s="46">
        <f>G14/G20*100</f>
        <v>7.7412731006160165</v>
      </c>
      <c r="I14" s="45">
        <v>217</v>
      </c>
      <c r="J14" s="46">
        <f>I14/I20*100</f>
        <v>4.732824427480916</v>
      </c>
      <c r="K14" s="48">
        <v>70</v>
      </c>
      <c r="L14" s="46">
        <f>K14/K20*100</f>
        <v>1.3252555850056797</v>
      </c>
      <c r="M14" s="48">
        <v>250</v>
      </c>
      <c r="N14" s="46">
        <f>M14/M20*100</f>
        <v>4.918355301987015</v>
      </c>
      <c r="O14" s="45">
        <v>306</v>
      </c>
      <c r="P14" s="46">
        <f>O14*100/O20</f>
        <v>3.471355643788996</v>
      </c>
      <c r="Q14" s="45">
        <v>162</v>
      </c>
      <c r="R14" s="49">
        <f>100/Q20*Q14</f>
        <v>1.6111387369467927</v>
      </c>
      <c r="S14" s="50">
        <f t="shared" si="0"/>
        <v>1597</v>
      </c>
      <c r="T14" s="51">
        <f>S14/S20*100</f>
        <v>3.3227913944488368</v>
      </c>
    </row>
    <row r="15" spans="2:20" ht="34.5" customHeight="1">
      <c r="B15" s="44" t="s">
        <v>39</v>
      </c>
      <c r="C15" s="45">
        <v>2929</v>
      </c>
      <c r="D15" s="46">
        <f>C15/C20*100</f>
        <v>53.762848751835534</v>
      </c>
      <c r="E15" s="45">
        <v>1897</v>
      </c>
      <c r="F15" s="46">
        <f>E15/E20*100</f>
        <v>48.34352701325179</v>
      </c>
      <c r="G15" s="45">
        <v>2625</v>
      </c>
      <c r="H15" s="46">
        <f>G15/G20*100</f>
        <v>53.90143737166324</v>
      </c>
      <c r="I15" s="45">
        <v>2747</v>
      </c>
      <c r="J15" s="46">
        <f>I15/I20*100</f>
        <v>59.91275899672846</v>
      </c>
      <c r="K15" s="45">
        <v>3123</v>
      </c>
      <c r="L15" s="46">
        <f>K15/K20*100</f>
        <v>59.125331313896254</v>
      </c>
      <c r="M15" s="48">
        <v>2922</v>
      </c>
      <c r="N15" s="46">
        <f>M15/M20*100</f>
        <v>57.48573676962424</v>
      </c>
      <c r="O15" s="45">
        <v>4461</v>
      </c>
      <c r="P15" s="46">
        <f>O15*100/O20</f>
        <v>50.6069200226886</v>
      </c>
      <c r="Q15" s="45">
        <v>5891</v>
      </c>
      <c r="R15" s="49">
        <f>100/Q20*Q15</f>
        <v>58.58776727996022</v>
      </c>
      <c r="S15" s="50">
        <f t="shared" si="0"/>
        <v>26595</v>
      </c>
      <c r="T15" s="51">
        <f>S15/S20*100</f>
        <v>55.334775914443846</v>
      </c>
    </row>
    <row r="16" spans="2:20" ht="34.5" customHeight="1">
      <c r="B16" s="44" t="s">
        <v>40</v>
      </c>
      <c r="C16" s="45">
        <v>1189</v>
      </c>
      <c r="D16" s="46">
        <f>C16/C20*100</f>
        <v>21.824522760646108</v>
      </c>
      <c r="E16" s="45">
        <v>621</v>
      </c>
      <c r="F16" s="46">
        <f>E16/E20*100</f>
        <v>15.825688073394495</v>
      </c>
      <c r="G16" s="45">
        <v>1024</v>
      </c>
      <c r="H16" s="46">
        <f>G16/G20*100</f>
        <v>21.026694045174537</v>
      </c>
      <c r="I16" s="45">
        <v>608</v>
      </c>
      <c r="J16" s="46">
        <f>I16/I20*100</f>
        <v>13.26063249727372</v>
      </c>
      <c r="K16" s="48">
        <v>578</v>
      </c>
      <c r="L16" s="46">
        <f>K16/K20*100</f>
        <v>10.942824687618327</v>
      </c>
      <c r="M16" s="48">
        <v>905</v>
      </c>
      <c r="N16" s="46">
        <f>M16/M20*100</f>
        <v>17.804446193192998</v>
      </c>
      <c r="O16" s="45">
        <v>1466</v>
      </c>
      <c r="P16" s="46">
        <f>O16*100/O20</f>
        <v>16.630743051616562</v>
      </c>
      <c r="Q16" s="45">
        <v>1491</v>
      </c>
      <c r="R16" s="49">
        <f>100/Q20*Q16</f>
        <v>14.828443560417702</v>
      </c>
      <c r="S16" s="50">
        <f t="shared" si="0"/>
        <v>7882</v>
      </c>
      <c r="T16" s="51">
        <f>S16/S20*100</f>
        <v>16.399650451500143</v>
      </c>
    </row>
    <row r="17" spans="2:20" ht="34.5" customHeight="1">
      <c r="B17" s="44" t="s">
        <v>41</v>
      </c>
      <c r="C17" s="45">
        <v>84</v>
      </c>
      <c r="D17" s="46">
        <f>C17/C20*100</f>
        <v>1.5418502202643172</v>
      </c>
      <c r="E17" s="45">
        <v>44</v>
      </c>
      <c r="F17" s="46">
        <f>E17/E20*100</f>
        <v>1.1213047910295617</v>
      </c>
      <c r="G17" s="45">
        <v>88</v>
      </c>
      <c r="H17" s="46">
        <f>G17/G20*100</f>
        <v>1.8069815195071868</v>
      </c>
      <c r="I17" s="45">
        <v>96</v>
      </c>
      <c r="J17" s="46">
        <f>I17/I20*100</f>
        <v>2.093784078516903</v>
      </c>
      <c r="K17" s="48">
        <v>154</v>
      </c>
      <c r="L17" s="46">
        <f>K17/K20*100</f>
        <v>2.9155622870124955</v>
      </c>
      <c r="M17" s="48">
        <v>171</v>
      </c>
      <c r="N17" s="46">
        <f>M17/M20*100</f>
        <v>3.3641550265591187</v>
      </c>
      <c r="O17" s="45">
        <v>196</v>
      </c>
      <c r="P17" s="46">
        <f>O17*100/O20</f>
        <v>2.2234826999432786</v>
      </c>
      <c r="Q17" s="45">
        <v>172</v>
      </c>
      <c r="R17" s="49">
        <f>100/Q20*Q17</f>
        <v>1.7105917454002983</v>
      </c>
      <c r="S17" s="50">
        <f t="shared" si="0"/>
        <v>1005</v>
      </c>
      <c r="T17" s="51">
        <f>S17/S20*100</f>
        <v>2.0910490616287296</v>
      </c>
    </row>
    <row r="18" spans="2:20" ht="34.5" customHeight="1">
      <c r="B18" s="44" t="s">
        <v>42</v>
      </c>
      <c r="C18" s="45">
        <v>72</v>
      </c>
      <c r="D18" s="46">
        <f>C18/C20*100</f>
        <v>1.3215859030837005</v>
      </c>
      <c r="E18" s="45">
        <v>17</v>
      </c>
      <c r="F18" s="46">
        <f>E18/E20*100</f>
        <v>0.4332313965341488</v>
      </c>
      <c r="G18" s="45">
        <v>11</v>
      </c>
      <c r="H18" s="46">
        <f>G18/G20*100</f>
        <v>0.22587268993839835</v>
      </c>
      <c r="I18" s="45">
        <v>26</v>
      </c>
      <c r="J18" s="46">
        <f>I18/I20*100</f>
        <v>0.5670665212649946</v>
      </c>
      <c r="K18" s="48">
        <v>13</v>
      </c>
      <c r="L18" s="46">
        <f>K18/K20*100</f>
        <v>0.24611889435819764</v>
      </c>
      <c r="M18" s="48">
        <v>11</v>
      </c>
      <c r="N18" s="46">
        <f>M18/M20*100</f>
        <v>0.21640763328742868</v>
      </c>
      <c r="O18" s="45">
        <v>20</v>
      </c>
      <c r="P18" s="46">
        <f>O18*100/O20</f>
        <v>0.22688598979013047</v>
      </c>
      <c r="Q18" s="45">
        <v>46</v>
      </c>
      <c r="R18" s="49">
        <f>100/Q20*Q18</f>
        <v>0.4574838388861263</v>
      </c>
      <c r="S18" s="50">
        <f t="shared" si="0"/>
        <v>216</v>
      </c>
      <c r="T18" s="51">
        <f>S18/S20*100</f>
        <v>0.4494194998127418</v>
      </c>
    </row>
    <row r="19" spans="2:20" ht="34.5" customHeight="1" thickBot="1">
      <c r="B19" s="52" t="s">
        <v>43</v>
      </c>
      <c r="C19" s="53">
        <v>517</v>
      </c>
      <c r="D19" s="54">
        <f>C19/C20*100</f>
        <v>9.489720998531572</v>
      </c>
      <c r="E19" s="55">
        <v>532</v>
      </c>
      <c r="F19" s="54">
        <f>E19/E20*100</f>
        <v>13.557594291539246</v>
      </c>
      <c r="G19" s="53">
        <v>446</v>
      </c>
      <c r="H19" s="54">
        <f>G19/G20*100</f>
        <v>9.158110882956878</v>
      </c>
      <c r="I19" s="53">
        <v>508</v>
      </c>
      <c r="J19" s="54">
        <f>I19/I20*100</f>
        <v>11.079607415485277</v>
      </c>
      <c r="K19" s="56">
        <v>531</v>
      </c>
      <c r="L19" s="54">
        <f>K19/K20*100</f>
        <v>10.053010223400227</v>
      </c>
      <c r="M19" s="56">
        <v>516</v>
      </c>
      <c r="N19" s="54">
        <f>M19/M20*100</f>
        <v>10.1514853433012</v>
      </c>
      <c r="O19" s="53">
        <v>436</v>
      </c>
      <c r="P19" s="54">
        <f>O19*100/O20</f>
        <v>4.946114577424844</v>
      </c>
      <c r="Q19" s="53">
        <v>777</v>
      </c>
      <c r="R19" s="57">
        <f>100/Q20*Q19</f>
        <v>7.727498756837394</v>
      </c>
      <c r="S19" s="58">
        <f t="shared" si="0"/>
        <v>4263</v>
      </c>
      <c r="T19" s="59">
        <f>S19/S20*100</f>
        <v>8.869793183804253</v>
      </c>
    </row>
    <row r="20" spans="2:22" ht="34.5" customHeight="1" thickBot="1" thickTop="1">
      <c r="B20" s="60" t="s">
        <v>44</v>
      </c>
      <c r="C20" s="61">
        <f aca="true" t="shared" si="1" ref="C20:T20">SUM(C13:C19)</f>
        <v>5448</v>
      </c>
      <c r="D20" s="62">
        <f t="shared" si="1"/>
        <v>100</v>
      </c>
      <c r="E20" s="61">
        <f t="shared" si="1"/>
        <v>3924</v>
      </c>
      <c r="F20" s="62">
        <f t="shared" si="1"/>
        <v>100.00000000000001</v>
      </c>
      <c r="G20" s="61">
        <f t="shared" si="1"/>
        <v>4870</v>
      </c>
      <c r="H20" s="62">
        <f t="shared" si="1"/>
        <v>100</v>
      </c>
      <c r="I20" s="61">
        <f t="shared" si="1"/>
        <v>4585</v>
      </c>
      <c r="J20" s="62">
        <f t="shared" si="1"/>
        <v>100</v>
      </c>
      <c r="K20" s="61">
        <f t="shared" si="1"/>
        <v>5282</v>
      </c>
      <c r="L20" s="62">
        <f t="shared" si="1"/>
        <v>100</v>
      </c>
      <c r="M20" s="61">
        <f t="shared" si="1"/>
        <v>5083</v>
      </c>
      <c r="N20" s="62">
        <f t="shared" si="1"/>
        <v>100.00000000000001</v>
      </c>
      <c r="O20" s="61">
        <f t="shared" si="1"/>
        <v>8815</v>
      </c>
      <c r="P20" s="62">
        <f t="shared" si="1"/>
        <v>100</v>
      </c>
      <c r="Q20" s="61">
        <f t="shared" si="1"/>
        <v>10055</v>
      </c>
      <c r="R20" s="62">
        <f t="shared" si="1"/>
        <v>99.99999999999999</v>
      </c>
      <c r="S20" s="61">
        <f t="shared" si="1"/>
        <v>48062</v>
      </c>
      <c r="T20" s="63">
        <f t="shared" si="1"/>
        <v>100</v>
      </c>
      <c r="U20" s="64"/>
      <c r="V20" s="64"/>
    </row>
    <row r="21" spans="5:9" ht="30" customHeight="1" thickTop="1">
      <c r="E21" s="65"/>
      <c r="I21" s="64"/>
    </row>
    <row r="22" ht="30" customHeight="1">
      <c r="I22" s="64"/>
    </row>
    <row r="23" ht="30" customHeight="1"/>
    <row r="24" ht="30" customHeight="1"/>
  </sheetData>
  <mergeCells count="2">
    <mergeCell ref="F5:P5"/>
    <mergeCell ref="F6:P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21"/>
  <sheetViews>
    <sheetView zoomScale="75" zoomScaleNormal="75" workbookViewId="0" topLeftCell="A1">
      <selection activeCell="Q12" sqref="Q12"/>
    </sheetView>
  </sheetViews>
  <sheetFormatPr defaultColWidth="9.140625" defaultRowHeight="12.75"/>
  <cols>
    <col min="1" max="1" width="5.57421875" style="66" customWidth="1"/>
    <col min="2" max="2" width="26.421875" style="66" customWidth="1"/>
    <col min="3" max="3" width="9.00390625" style="66" customWidth="1"/>
    <col min="4" max="4" width="11.57421875" style="66" customWidth="1"/>
    <col min="5" max="5" width="9.140625" style="66" customWidth="1"/>
    <col min="6" max="6" width="12.57421875" style="66" customWidth="1"/>
    <col min="7" max="7" width="8.57421875" style="66" customWidth="1"/>
    <col min="8" max="8" width="13.00390625" style="66" customWidth="1"/>
    <col min="9" max="9" width="8.8515625" style="66" customWidth="1"/>
    <col min="10" max="10" width="12.8515625" style="66" customWidth="1"/>
    <col min="11" max="11" width="10.7109375" style="66" customWidth="1"/>
    <col min="12" max="12" width="9.421875" style="66" customWidth="1"/>
    <col min="13" max="13" width="13.421875" style="66" customWidth="1"/>
    <col min="14" max="14" width="8.00390625" style="66" customWidth="1"/>
    <col min="15" max="16" width="9.140625" style="66" customWidth="1"/>
    <col min="17" max="17" width="12.7109375" style="66" bestFit="1" customWidth="1"/>
    <col min="18" max="16384" width="9.140625" style="66" customWidth="1"/>
  </cols>
  <sheetData>
    <row r="2" ht="27.75">
      <c r="C2" s="67" t="s">
        <v>45</v>
      </c>
    </row>
    <row r="5" ht="13.5" thickBot="1">
      <c r="B5" s="68" t="s">
        <v>46</v>
      </c>
    </row>
    <row r="6" spans="2:14" ht="18" thickBot="1" thickTop="1">
      <c r="B6" s="348" t="s">
        <v>47</v>
      </c>
      <c r="C6" s="348" t="s">
        <v>48</v>
      </c>
      <c r="D6" s="348"/>
      <c r="E6" s="348" t="s">
        <v>49</v>
      </c>
      <c r="F6" s="348"/>
      <c r="G6" s="348" t="s">
        <v>50</v>
      </c>
      <c r="H6" s="348"/>
      <c r="I6" s="348" t="s">
        <v>51</v>
      </c>
      <c r="J6" s="348"/>
      <c r="K6" s="348" t="s">
        <v>52</v>
      </c>
      <c r="L6" s="348"/>
      <c r="M6" s="351"/>
      <c r="N6" s="351"/>
    </row>
    <row r="7" spans="2:14" ht="14.25" customHeight="1" thickBot="1" thickTop="1">
      <c r="B7" s="349"/>
      <c r="C7" s="350" t="s">
        <v>53</v>
      </c>
      <c r="D7" s="350" t="s">
        <v>54</v>
      </c>
      <c r="E7" s="350" t="s">
        <v>53</v>
      </c>
      <c r="F7" s="350" t="s">
        <v>55</v>
      </c>
      <c r="G7" s="350" t="s">
        <v>53</v>
      </c>
      <c r="H7" s="350" t="s">
        <v>55</v>
      </c>
      <c r="I7" s="350" t="s">
        <v>53</v>
      </c>
      <c r="J7" s="350" t="s">
        <v>55</v>
      </c>
      <c r="K7" s="350" t="s">
        <v>53</v>
      </c>
      <c r="L7" s="350" t="s">
        <v>56</v>
      </c>
      <c r="M7" s="350" t="s">
        <v>55</v>
      </c>
      <c r="N7" s="350" t="s">
        <v>56</v>
      </c>
    </row>
    <row r="8" spans="2:14" ht="14.25" thickBot="1" thickTop="1">
      <c r="B8" s="349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</row>
    <row r="9" spans="2:14" ht="36" customHeight="1" thickTop="1">
      <c r="B9" s="69" t="s">
        <v>57</v>
      </c>
      <c r="C9" s="70">
        <f>52+42</f>
        <v>94</v>
      </c>
      <c r="D9" s="70">
        <f>10382+24944</f>
        <v>35326</v>
      </c>
      <c r="E9" s="71">
        <f>1034+2185</f>
        <v>3219</v>
      </c>
      <c r="F9" s="71">
        <f>318063+1322162</f>
        <v>1640225</v>
      </c>
      <c r="G9" s="71">
        <f>663+2159</f>
        <v>2822</v>
      </c>
      <c r="H9" s="71">
        <f>70430+182751</f>
        <v>253181</v>
      </c>
      <c r="I9" s="71">
        <f>1140</f>
        <v>1140</v>
      </c>
      <c r="J9" s="71">
        <f>44565+74919</f>
        <v>119484</v>
      </c>
      <c r="K9" s="72">
        <f aca="true" t="shared" si="0" ref="K9:K16">C9+E9+G9+I9</f>
        <v>7275</v>
      </c>
      <c r="L9" s="73">
        <f>K9/K16*100</f>
        <v>34.940684885452185</v>
      </c>
      <c r="M9" s="72">
        <f aca="true" t="shared" si="1" ref="M9:M16">D9+F9+H9+J9</f>
        <v>2048216</v>
      </c>
      <c r="N9" s="74">
        <f>M9/M16*100</f>
        <v>56.8349280398069</v>
      </c>
    </row>
    <row r="10" spans="2:14" ht="36" customHeight="1">
      <c r="B10" s="69" t="s">
        <v>58</v>
      </c>
      <c r="C10" s="70">
        <f>66+1108+29</f>
        <v>1203</v>
      </c>
      <c r="D10" s="70">
        <f>48484+28790+3322+24904</f>
        <v>105500</v>
      </c>
      <c r="E10" s="75">
        <f>789+2951+390+484</f>
        <v>4614</v>
      </c>
      <c r="F10" s="75">
        <f>169180+446153+125040+101032</f>
        <v>841405</v>
      </c>
      <c r="G10" s="75">
        <f>2151+5060+1287+216</f>
        <v>8714</v>
      </c>
      <c r="H10" s="75">
        <f>125346+342425+138731+24766</f>
        <v>631268</v>
      </c>
      <c r="I10" s="75">
        <f>132+859+50+23</f>
        <v>1064</v>
      </c>
      <c r="J10" s="75">
        <f>11815+55240+2022+1517</f>
        <v>70594</v>
      </c>
      <c r="K10" s="76">
        <f t="shared" si="0"/>
        <v>15595</v>
      </c>
      <c r="L10" s="77">
        <f>K10/K16*100</f>
        <v>74.9003410018731</v>
      </c>
      <c r="M10" s="76">
        <f t="shared" si="1"/>
        <v>1648767</v>
      </c>
      <c r="N10" s="74">
        <f>M10/M16*100</f>
        <v>45.750816222218894</v>
      </c>
    </row>
    <row r="11" spans="2:14" ht="36" customHeight="1">
      <c r="B11" s="78" t="s">
        <v>59</v>
      </c>
      <c r="C11" s="75">
        <f>6+1+7</f>
        <v>14</v>
      </c>
      <c r="D11" s="75">
        <f>1096+4913</f>
        <v>6009</v>
      </c>
      <c r="E11" s="75">
        <f>171+3+9</f>
        <v>183</v>
      </c>
      <c r="F11" s="75">
        <f>72960+14+2810</f>
        <v>75784</v>
      </c>
      <c r="G11" s="75">
        <f>64+1+1</f>
        <v>66</v>
      </c>
      <c r="H11" s="75">
        <f>36826+12</f>
        <v>36838</v>
      </c>
      <c r="I11" s="75">
        <f>15</f>
        <v>15</v>
      </c>
      <c r="J11" s="75">
        <f>7433</f>
        <v>7433</v>
      </c>
      <c r="K11" s="76">
        <f t="shared" si="0"/>
        <v>278</v>
      </c>
      <c r="L11" s="77">
        <f>K11/K16*100</f>
        <v>1.3351904327361799</v>
      </c>
      <c r="M11" s="76">
        <f t="shared" si="1"/>
        <v>126064</v>
      </c>
      <c r="N11" s="74">
        <f>M11/M16*100</f>
        <v>3.4980872956808344</v>
      </c>
    </row>
    <row r="12" spans="2:14" ht="36" customHeight="1">
      <c r="B12" s="78" t="s">
        <v>60</v>
      </c>
      <c r="C12" s="75">
        <v>351</v>
      </c>
      <c r="D12" s="75">
        <v>25201</v>
      </c>
      <c r="E12" s="75">
        <v>666</v>
      </c>
      <c r="F12" s="75">
        <v>24398</v>
      </c>
      <c r="G12" s="75">
        <v>51</v>
      </c>
      <c r="H12" s="75">
        <v>817</v>
      </c>
      <c r="I12" s="75">
        <v>12</v>
      </c>
      <c r="J12" s="75">
        <v>105</v>
      </c>
      <c r="K12" s="76">
        <f t="shared" si="0"/>
        <v>1080</v>
      </c>
      <c r="L12" s="77">
        <f>K12/K16*100</f>
        <v>5.187070745881562</v>
      </c>
      <c r="M12" s="76">
        <f t="shared" si="1"/>
        <v>50521</v>
      </c>
      <c r="N12" s="74">
        <f>M12/M16*100</f>
        <v>1.4018821254687417</v>
      </c>
    </row>
    <row r="13" spans="2:14" ht="36" customHeight="1">
      <c r="B13" s="78" t="s">
        <v>61</v>
      </c>
      <c r="C13" s="75">
        <v>10</v>
      </c>
      <c r="D13" s="75">
        <f>151</f>
        <v>151</v>
      </c>
      <c r="E13" s="75">
        <f>32+2</f>
        <v>34</v>
      </c>
      <c r="F13" s="75">
        <f>7037+1110</f>
        <v>8147</v>
      </c>
      <c r="G13" s="75">
        <f>26+15</f>
        <v>41</v>
      </c>
      <c r="H13" s="75">
        <f>1589+1263</f>
        <v>2852</v>
      </c>
      <c r="I13" s="75">
        <f>13+1</f>
        <v>14</v>
      </c>
      <c r="J13" s="75">
        <f>9290+3</f>
        <v>9293</v>
      </c>
      <c r="K13" s="76">
        <f t="shared" si="0"/>
        <v>99</v>
      </c>
      <c r="L13" s="77">
        <f>K13/K16*100</f>
        <v>0.4754814850391431</v>
      </c>
      <c r="M13" s="76">
        <f t="shared" si="1"/>
        <v>20443</v>
      </c>
      <c r="N13" s="74">
        <f>M13/M16*100</f>
        <v>0.5672626490163989</v>
      </c>
    </row>
    <row r="14" spans="2:14" ht="36" customHeight="1">
      <c r="B14" s="78" t="s">
        <v>62</v>
      </c>
      <c r="C14" s="75">
        <f>15</f>
        <v>15</v>
      </c>
      <c r="D14" s="75">
        <f>3268</f>
        <v>3268</v>
      </c>
      <c r="E14" s="75">
        <f>22</f>
        <v>22</v>
      </c>
      <c r="F14" s="75">
        <f>4773</f>
        <v>4773</v>
      </c>
      <c r="G14" s="75">
        <f>395</f>
        <v>395</v>
      </c>
      <c r="H14" s="75">
        <f>3180</f>
        <v>3180</v>
      </c>
      <c r="I14" s="75">
        <f>18</f>
        <v>18</v>
      </c>
      <c r="J14" s="75">
        <f>342</f>
        <v>342</v>
      </c>
      <c r="K14" s="76">
        <f t="shared" si="0"/>
        <v>450</v>
      </c>
      <c r="L14" s="77">
        <f>K14/K16*100</f>
        <v>2.161279477450651</v>
      </c>
      <c r="M14" s="76">
        <f t="shared" si="1"/>
        <v>11563</v>
      </c>
      <c r="N14" s="74">
        <f>M14/M16*100</f>
        <v>0.32085594142623974</v>
      </c>
    </row>
    <row r="15" spans="2:14" ht="36" customHeight="1" thickBot="1">
      <c r="B15" s="79" t="s">
        <v>63</v>
      </c>
      <c r="C15" s="80">
        <f>1</f>
        <v>1</v>
      </c>
      <c r="D15" s="80">
        <v>234</v>
      </c>
      <c r="E15" s="81">
        <v>4</v>
      </c>
      <c r="F15" s="81">
        <v>1021</v>
      </c>
      <c r="G15" s="81">
        <v>10</v>
      </c>
      <c r="H15" s="81">
        <v>433</v>
      </c>
      <c r="I15" s="81">
        <v>12</v>
      </c>
      <c r="J15" s="81">
        <v>856</v>
      </c>
      <c r="K15" s="82">
        <f t="shared" si="0"/>
        <v>27</v>
      </c>
      <c r="L15" s="83">
        <f>K15/K16*100</f>
        <v>0.12967676864703903</v>
      </c>
      <c r="M15" s="82">
        <f t="shared" si="1"/>
        <v>2544</v>
      </c>
      <c r="N15" s="74">
        <f>M15/M16*100</f>
        <v>0.07059219190420772</v>
      </c>
    </row>
    <row r="16" spans="2:14" ht="36" customHeight="1" thickBot="1" thickTop="1">
      <c r="B16" s="84" t="s">
        <v>64</v>
      </c>
      <c r="C16" s="85">
        <v>1228</v>
      </c>
      <c r="D16" s="85">
        <v>164194</v>
      </c>
      <c r="E16" s="85">
        <v>7946</v>
      </c>
      <c r="F16" s="85">
        <v>2436058</v>
      </c>
      <c r="G16" s="85">
        <v>9838</v>
      </c>
      <c r="H16" s="85">
        <v>833090</v>
      </c>
      <c r="I16" s="85">
        <v>1809</v>
      </c>
      <c r="J16" s="85">
        <v>170456</v>
      </c>
      <c r="K16" s="85">
        <f t="shared" si="0"/>
        <v>20821</v>
      </c>
      <c r="L16" s="86" t="s">
        <v>65</v>
      </c>
      <c r="M16" s="85">
        <f t="shared" si="1"/>
        <v>3603798</v>
      </c>
      <c r="N16" s="87" t="s">
        <v>65</v>
      </c>
    </row>
    <row r="17" ht="13.5" thickTop="1"/>
    <row r="19" ht="12.75">
      <c r="J19" s="88"/>
    </row>
    <row r="20" spans="10:17" ht="12.75">
      <c r="J20" s="88"/>
      <c r="M20" s="88"/>
      <c r="Q20" s="88"/>
    </row>
    <row r="21" ht="12.75">
      <c r="C21" s="88"/>
    </row>
  </sheetData>
  <mergeCells count="18">
    <mergeCell ref="N7:N8"/>
    <mergeCell ref="K6:N6"/>
    <mergeCell ref="I6:J6"/>
    <mergeCell ref="I7:I8"/>
    <mergeCell ref="J7:J8"/>
    <mergeCell ref="K7:K8"/>
    <mergeCell ref="L7:L8"/>
    <mergeCell ref="M7:M8"/>
    <mergeCell ref="E6:F6"/>
    <mergeCell ref="E7:E8"/>
    <mergeCell ref="F7:F8"/>
    <mergeCell ref="G6:H6"/>
    <mergeCell ref="G7:G8"/>
    <mergeCell ref="H7:H8"/>
    <mergeCell ref="C6:D6"/>
    <mergeCell ref="B6:B8"/>
    <mergeCell ref="C7:C8"/>
    <mergeCell ref="D7:D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E64"/>
  <sheetViews>
    <sheetView zoomScale="75" zoomScaleNormal="75" workbookViewId="0" topLeftCell="A1">
      <selection activeCell="C9" sqref="C9"/>
    </sheetView>
  </sheetViews>
  <sheetFormatPr defaultColWidth="9.140625" defaultRowHeight="12.75"/>
  <cols>
    <col min="1" max="1" width="1.7109375" style="0" customWidth="1"/>
    <col min="2" max="2" width="32.8515625" style="0" customWidth="1"/>
    <col min="3" max="3" width="11.140625" style="0" customWidth="1"/>
    <col min="4" max="4" width="11.57421875" style="0" customWidth="1"/>
    <col min="5" max="5" width="13.140625" style="0" bestFit="1" customWidth="1"/>
    <col min="6" max="6" width="11.28125" style="0" customWidth="1"/>
    <col min="7" max="7" width="14.421875" style="0" bestFit="1" customWidth="1"/>
    <col min="8" max="8" width="11.57421875" style="0" customWidth="1"/>
    <col min="9" max="9" width="13.57421875" style="0" customWidth="1"/>
    <col min="10" max="10" width="11.7109375" style="0" customWidth="1"/>
    <col min="11" max="11" width="13.140625" style="0" customWidth="1"/>
    <col min="12" max="12" width="11.57421875" style="0" customWidth="1"/>
    <col min="13" max="13" width="9.28125" style="0" customWidth="1"/>
    <col min="14" max="14" width="12.8515625" style="0" customWidth="1"/>
    <col min="15" max="15" width="9.421875" style="0" customWidth="1"/>
  </cols>
  <sheetData>
    <row r="1" spans="2:31" ht="27.75">
      <c r="B1" s="352" t="s">
        <v>66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</row>
    <row r="2" spans="2:31" ht="18">
      <c r="B2" s="354" t="s">
        <v>67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2:31" ht="6" customHeight="1">
      <c r="B3" s="89"/>
      <c r="C3" s="89"/>
      <c r="D3" s="1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</row>
    <row r="4" spans="2:31" ht="13.5" customHeight="1" thickBot="1">
      <c r="B4" s="90" t="s">
        <v>68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</row>
    <row r="5" spans="2:31" ht="27" customHeight="1" thickBot="1" thickTop="1">
      <c r="B5" s="356" t="s">
        <v>31</v>
      </c>
      <c r="C5" s="359" t="s">
        <v>69</v>
      </c>
      <c r="D5" s="367" t="s">
        <v>70</v>
      </c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</row>
    <row r="6" spans="2:31" ht="16.5" thickBot="1">
      <c r="B6" s="357"/>
      <c r="C6" s="360"/>
      <c r="D6" s="362" t="s">
        <v>71</v>
      </c>
      <c r="E6" s="366"/>
      <c r="F6" s="362" t="s">
        <v>72</v>
      </c>
      <c r="G6" s="365"/>
      <c r="H6" s="362" t="s">
        <v>50</v>
      </c>
      <c r="I6" s="366"/>
      <c r="J6" s="362" t="s">
        <v>51</v>
      </c>
      <c r="K6" s="366"/>
      <c r="L6" s="362" t="s">
        <v>52</v>
      </c>
      <c r="M6" s="363"/>
      <c r="N6" s="363"/>
      <c r="O6" s="364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</row>
    <row r="7" spans="2:31" ht="15.75" thickBot="1">
      <c r="B7" s="358"/>
      <c r="C7" s="361"/>
      <c r="D7" s="91" t="s">
        <v>53</v>
      </c>
      <c r="E7" s="91" t="s">
        <v>96</v>
      </c>
      <c r="F7" s="91" t="s">
        <v>53</v>
      </c>
      <c r="G7" s="91" t="s">
        <v>96</v>
      </c>
      <c r="H7" s="91" t="s">
        <v>53</v>
      </c>
      <c r="I7" s="91" t="s">
        <v>97</v>
      </c>
      <c r="J7" s="91" t="s">
        <v>53</v>
      </c>
      <c r="K7" s="91" t="s">
        <v>97</v>
      </c>
      <c r="L7" s="92" t="s">
        <v>53</v>
      </c>
      <c r="M7" s="92" t="s">
        <v>73</v>
      </c>
      <c r="N7" s="92" t="s">
        <v>97</v>
      </c>
      <c r="O7" s="93" t="s">
        <v>73</v>
      </c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</row>
    <row r="8" spans="2:31" ht="15">
      <c r="B8" s="94" t="s">
        <v>74</v>
      </c>
      <c r="C8" s="95"/>
      <c r="D8" s="96"/>
      <c r="E8" s="96"/>
      <c r="F8" s="96"/>
      <c r="G8" s="96"/>
      <c r="H8" s="96"/>
      <c r="I8" s="96"/>
      <c r="J8" s="96"/>
      <c r="K8" s="96"/>
      <c r="L8" s="97"/>
      <c r="M8" s="97"/>
      <c r="N8" s="97"/>
      <c r="O8" s="98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</row>
    <row r="9" spans="2:31" ht="21.75" customHeight="1">
      <c r="B9" s="99" t="s">
        <v>75</v>
      </c>
      <c r="C9" s="100">
        <f>996+334+288+439+207+7</f>
        <v>2271</v>
      </c>
      <c r="D9" s="100">
        <f>29+75+7</f>
        <v>111</v>
      </c>
      <c r="E9" s="100">
        <f>6568+5765+264</f>
        <v>12597</v>
      </c>
      <c r="F9" s="100">
        <f>494+79+111+62+15</f>
        <v>761</v>
      </c>
      <c r="G9" s="100">
        <f>129082+34625+34832+7543+16534</f>
        <v>222616</v>
      </c>
      <c r="H9" s="100">
        <f>367+18+15+228+4</f>
        <v>632</v>
      </c>
      <c r="I9" s="100">
        <f>63022+2202+7017+31512+66</f>
        <v>103819</v>
      </c>
      <c r="J9" s="100">
        <f>19+4+5+1</f>
        <v>29</v>
      </c>
      <c r="K9" s="100">
        <f>2785+3079+305+298</f>
        <v>6467</v>
      </c>
      <c r="L9" s="101">
        <f aca="true" t="shared" si="0" ref="L9:L15">D9+F9+H9+J9</f>
        <v>1533</v>
      </c>
      <c r="M9" s="102">
        <f aca="true" t="shared" si="1" ref="M9:M14">L9*100/$L$30</f>
        <v>7.491570151004251</v>
      </c>
      <c r="N9" s="101">
        <f aca="true" t="shared" si="2" ref="N9:N15">E9+G9+I9+K9</f>
        <v>345499</v>
      </c>
      <c r="O9" s="103">
        <f aca="true" t="shared" si="3" ref="O9:O14">N9*100/$N$30</f>
        <v>9.61054776664688</v>
      </c>
      <c r="P9" s="89"/>
      <c r="Q9" s="89"/>
      <c r="R9" s="89"/>
      <c r="S9" s="104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</row>
    <row r="10" spans="2:31" ht="21.75" customHeight="1">
      <c r="B10" s="105" t="s">
        <v>76</v>
      </c>
      <c r="C10" s="106">
        <v>337</v>
      </c>
      <c r="D10" s="106">
        <v>0</v>
      </c>
      <c r="E10" s="106">
        <v>0</v>
      </c>
      <c r="F10" s="106">
        <v>160</v>
      </c>
      <c r="G10" s="106">
        <v>145258</v>
      </c>
      <c r="H10" s="106">
        <v>37</v>
      </c>
      <c r="I10" s="106">
        <v>15581</v>
      </c>
      <c r="J10" s="106">
        <v>5</v>
      </c>
      <c r="K10" s="106">
        <v>3490</v>
      </c>
      <c r="L10" s="101">
        <f t="shared" si="0"/>
        <v>202</v>
      </c>
      <c r="M10" s="107">
        <f t="shared" si="1"/>
        <v>0.987147534574598</v>
      </c>
      <c r="N10" s="101">
        <f t="shared" si="2"/>
        <v>164329</v>
      </c>
      <c r="O10" s="108">
        <f t="shared" si="3"/>
        <v>4.571045658439866</v>
      </c>
      <c r="P10" s="89"/>
      <c r="Q10" s="104" t="s">
        <v>77</v>
      </c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</row>
    <row r="11" spans="2:31" ht="21.75" customHeight="1">
      <c r="B11" s="105" t="s">
        <v>78</v>
      </c>
      <c r="C11" s="106">
        <f>957+112+7</f>
        <v>1076</v>
      </c>
      <c r="D11" s="106">
        <f>67</f>
        <v>67</v>
      </c>
      <c r="E11" s="106">
        <f>9794</f>
        <v>9794</v>
      </c>
      <c r="F11" s="106">
        <f>312+10</f>
        <v>322</v>
      </c>
      <c r="G11" s="106">
        <f>68568+260</f>
        <v>68828</v>
      </c>
      <c r="H11" s="106">
        <f>10</f>
        <v>10</v>
      </c>
      <c r="I11" s="106">
        <f>6040</f>
        <v>6040</v>
      </c>
      <c r="J11" s="106">
        <v>0</v>
      </c>
      <c r="K11" s="106">
        <v>0</v>
      </c>
      <c r="L11" s="101">
        <f t="shared" si="0"/>
        <v>399</v>
      </c>
      <c r="M11" s="107">
        <f t="shared" si="1"/>
        <v>1.9498607242339834</v>
      </c>
      <c r="N11" s="101">
        <f t="shared" si="2"/>
        <v>84662</v>
      </c>
      <c r="O11" s="108">
        <f t="shared" si="3"/>
        <v>2.3549943560469297</v>
      </c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</row>
    <row r="12" spans="2:31" ht="21.75" customHeight="1">
      <c r="B12" s="105" t="s">
        <v>79</v>
      </c>
      <c r="C12" s="106">
        <f>10+1788+87</f>
        <v>1885</v>
      </c>
      <c r="D12" s="106">
        <f>11</f>
        <v>11</v>
      </c>
      <c r="E12" s="106">
        <v>183</v>
      </c>
      <c r="F12" s="106">
        <f>8+185+3</f>
        <v>196</v>
      </c>
      <c r="G12" s="106">
        <f>101+9719+38</f>
        <v>9858</v>
      </c>
      <c r="H12" s="106">
        <f>243+6+1095</f>
        <v>1344</v>
      </c>
      <c r="I12" s="106">
        <f>58+31746+18650</f>
        <v>50454</v>
      </c>
      <c r="J12" s="106">
        <f>117+2</f>
        <v>119</v>
      </c>
      <c r="K12" s="106">
        <f>2054+31</f>
        <v>2085</v>
      </c>
      <c r="L12" s="101">
        <f t="shared" si="0"/>
        <v>1670</v>
      </c>
      <c r="M12" s="107">
        <f t="shared" si="1"/>
        <v>8.161071201681082</v>
      </c>
      <c r="N12" s="101">
        <f t="shared" si="2"/>
        <v>62580</v>
      </c>
      <c r="O12" s="108">
        <f t="shared" si="3"/>
        <v>1.74075201154493</v>
      </c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</row>
    <row r="13" spans="2:31" ht="21.75" customHeight="1">
      <c r="B13" s="105" t="s">
        <v>80</v>
      </c>
      <c r="C13" s="106">
        <v>308</v>
      </c>
      <c r="D13" s="106">
        <v>5</v>
      </c>
      <c r="E13" s="106">
        <v>156</v>
      </c>
      <c r="F13" s="106">
        <v>216</v>
      </c>
      <c r="G13" s="106">
        <v>16391</v>
      </c>
      <c r="H13" s="106">
        <v>454</v>
      </c>
      <c r="I13" s="106">
        <v>38957</v>
      </c>
      <c r="J13" s="106">
        <v>74</v>
      </c>
      <c r="K13" s="106">
        <v>3034</v>
      </c>
      <c r="L13" s="101">
        <f t="shared" si="0"/>
        <v>749</v>
      </c>
      <c r="M13" s="107">
        <f t="shared" si="1"/>
        <v>3.660264868298881</v>
      </c>
      <c r="N13" s="101">
        <f t="shared" si="2"/>
        <v>58538</v>
      </c>
      <c r="O13" s="108">
        <f t="shared" si="3"/>
        <v>1.628318012972469</v>
      </c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</row>
    <row r="14" spans="2:31" ht="21.75" customHeight="1">
      <c r="B14" s="105" t="s">
        <v>81</v>
      </c>
      <c r="C14" s="106">
        <f>824+70+8</f>
        <v>902</v>
      </c>
      <c r="D14" s="106">
        <f>0</f>
        <v>0</v>
      </c>
      <c r="E14" s="106">
        <v>0</v>
      </c>
      <c r="F14" s="106">
        <f>93+9</f>
        <v>102</v>
      </c>
      <c r="G14" s="106">
        <f>3739+6887</f>
        <v>10626</v>
      </c>
      <c r="H14" s="106">
        <f>47+118</f>
        <v>165</v>
      </c>
      <c r="I14" s="106">
        <f>1545+5</f>
        <v>1550</v>
      </c>
      <c r="J14" s="106">
        <f>1+3</f>
        <v>4</v>
      </c>
      <c r="K14" s="106">
        <f>44+195</f>
        <v>239</v>
      </c>
      <c r="L14" s="101">
        <f t="shared" si="0"/>
        <v>271</v>
      </c>
      <c r="M14" s="107">
        <f t="shared" si="1"/>
        <v>1.324341494404535</v>
      </c>
      <c r="N14" s="101">
        <f t="shared" si="2"/>
        <v>12415</v>
      </c>
      <c r="O14" s="108">
        <f t="shared" si="3"/>
        <v>0.34534094316603237</v>
      </c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</row>
    <row r="15" spans="2:31" s="114" customFormat="1" ht="21.75" customHeight="1">
      <c r="B15" s="109" t="s">
        <v>82</v>
      </c>
      <c r="C15" s="110">
        <f aca="true" t="shared" si="4" ref="C15:K15">SUM(C9:C14)</f>
        <v>6779</v>
      </c>
      <c r="D15" s="110">
        <f t="shared" si="4"/>
        <v>194</v>
      </c>
      <c r="E15" s="110">
        <f t="shared" si="4"/>
        <v>22730</v>
      </c>
      <c r="F15" s="110">
        <f t="shared" si="4"/>
        <v>1757</v>
      </c>
      <c r="G15" s="110">
        <f t="shared" si="4"/>
        <v>473577</v>
      </c>
      <c r="H15" s="110">
        <f t="shared" si="4"/>
        <v>2642</v>
      </c>
      <c r="I15" s="110">
        <f t="shared" si="4"/>
        <v>216401</v>
      </c>
      <c r="J15" s="110">
        <f t="shared" si="4"/>
        <v>231</v>
      </c>
      <c r="K15" s="110">
        <f t="shared" si="4"/>
        <v>15315</v>
      </c>
      <c r="L15" s="101">
        <f t="shared" si="0"/>
        <v>4824</v>
      </c>
      <c r="M15" s="111"/>
      <c r="N15" s="101">
        <f t="shared" si="2"/>
        <v>728023</v>
      </c>
      <c r="O15" s="112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</row>
    <row r="16" spans="2:31" s="119" customFormat="1" ht="15.75" customHeight="1">
      <c r="B16" s="115" t="s">
        <v>83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01"/>
      <c r="M16" s="117"/>
      <c r="N16" s="101"/>
      <c r="O16" s="112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</row>
    <row r="17" spans="2:31" ht="24.75" customHeight="1">
      <c r="B17" s="105" t="s">
        <v>84</v>
      </c>
      <c r="C17" s="106">
        <f>262+3</f>
        <v>265</v>
      </c>
      <c r="D17" s="106">
        <v>18</v>
      </c>
      <c r="E17" s="106">
        <v>691</v>
      </c>
      <c r="F17" s="106">
        <f>13+1</f>
        <v>14</v>
      </c>
      <c r="G17" s="106">
        <f>431+344</f>
        <v>775</v>
      </c>
      <c r="H17" s="106">
        <f>36</f>
        <v>36</v>
      </c>
      <c r="I17" s="106">
        <v>892</v>
      </c>
      <c r="J17" s="106">
        <f>4</f>
        <v>4</v>
      </c>
      <c r="K17" s="106">
        <v>165</v>
      </c>
      <c r="L17" s="101">
        <f>D17+F17+H17+J17</f>
        <v>72</v>
      </c>
      <c r="M17" s="107">
        <f>L17*100/$L$30</f>
        <v>0.3518545667790646</v>
      </c>
      <c r="N17" s="101">
        <f>E17+G17+I17+K17</f>
        <v>2523</v>
      </c>
      <c r="O17" s="108">
        <f>N17*100/$N$30</f>
        <v>0.07018084571952474</v>
      </c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</row>
    <row r="18" spans="2:31" s="114" customFormat="1" ht="24.75" customHeight="1">
      <c r="B18" s="120" t="s">
        <v>82</v>
      </c>
      <c r="C18" s="110">
        <f aca="true" t="shared" si="5" ref="C18:K18">SUM(C17:C17)</f>
        <v>265</v>
      </c>
      <c r="D18" s="110">
        <f t="shared" si="5"/>
        <v>18</v>
      </c>
      <c r="E18" s="110">
        <f t="shared" si="5"/>
        <v>691</v>
      </c>
      <c r="F18" s="110">
        <f t="shared" si="5"/>
        <v>14</v>
      </c>
      <c r="G18" s="110">
        <f t="shared" si="5"/>
        <v>775</v>
      </c>
      <c r="H18" s="110">
        <f t="shared" si="5"/>
        <v>36</v>
      </c>
      <c r="I18" s="110">
        <f t="shared" si="5"/>
        <v>892</v>
      </c>
      <c r="J18" s="110">
        <f t="shared" si="5"/>
        <v>4</v>
      </c>
      <c r="K18" s="110">
        <f t="shared" si="5"/>
        <v>165</v>
      </c>
      <c r="L18" s="101">
        <f>D18+F18+H18+J18</f>
        <v>72</v>
      </c>
      <c r="M18" s="111"/>
      <c r="N18" s="101">
        <f>E18+G18+I18+K18</f>
        <v>2523</v>
      </c>
      <c r="O18" s="112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</row>
    <row r="19" spans="2:31" s="126" customFormat="1" ht="19.5" customHeight="1" thickBot="1">
      <c r="B19" s="121" t="s">
        <v>85</v>
      </c>
      <c r="C19" s="122">
        <f aca="true" t="shared" si="6" ref="C19:K19">C15+C18</f>
        <v>7044</v>
      </c>
      <c r="D19" s="122">
        <f t="shared" si="6"/>
        <v>212</v>
      </c>
      <c r="E19" s="122">
        <f t="shared" si="6"/>
        <v>23421</v>
      </c>
      <c r="F19" s="122">
        <f t="shared" si="6"/>
        <v>1771</v>
      </c>
      <c r="G19" s="122">
        <f t="shared" si="6"/>
        <v>474352</v>
      </c>
      <c r="H19" s="122">
        <f t="shared" si="6"/>
        <v>2678</v>
      </c>
      <c r="I19" s="122">
        <f t="shared" si="6"/>
        <v>217293</v>
      </c>
      <c r="J19" s="122">
        <f t="shared" si="6"/>
        <v>235</v>
      </c>
      <c r="K19" s="122">
        <f t="shared" si="6"/>
        <v>15480</v>
      </c>
      <c r="L19" s="123">
        <f>D19+F19+H19+J19</f>
        <v>4896</v>
      </c>
      <c r="M19" s="124"/>
      <c r="N19" s="123">
        <f>E19+G19+I19+K19</f>
        <v>730546</v>
      </c>
      <c r="O19" s="125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</row>
    <row r="20" spans="2:31" ht="22.5" customHeight="1" thickTop="1">
      <c r="B20" s="115" t="s">
        <v>86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8"/>
      <c r="M20" s="129"/>
      <c r="N20" s="128"/>
      <c r="O20" s="108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</row>
    <row r="21" spans="2:31" ht="21.75" customHeight="1">
      <c r="B21" s="105" t="s">
        <v>87</v>
      </c>
      <c r="C21" s="106">
        <v>725</v>
      </c>
      <c r="D21" s="106">
        <v>4</v>
      </c>
      <c r="E21" s="106">
        <v>20950</v>
      </c>
      <c r="F21" s="106">
        <v>170</v>
      </c>
      <c r="G21" s="106">
        <v>992579</v>
      </c>
      <c r="H21" s="106">
        <v>45</v>
      </c>
      <c r="I21" s="106">
        <v>43628</v>
      </c>
      <c r="J21" s="106">
        <v>0</v>
      </c>
      <c r="K21" s="106">
        <v>0</v>
      </c>
      <c r="L21" s="101">
        <f aca="true" t="shared" si="7" ref="L21:L30">D21+F21+H21+J21</f>
        <v>219</v>
      </c>
      <c r="M21" s="107">
        <f aca="true" t="shared" si="8" ref="M21:M29">L21*100/$L$30</f>
        <v>1.0702243072863216</v>
      </c>
      <c r="N21" s="101">
        <f aca="true" t="shared" si="9" ref="N21:N30">E21+G21+I21+K21</f>
        <v>1057157</v>
      </c>
      <c r="O21" s="108">
        <f aca="true" t="shared" si="10" ref="O21:O29">N21*100/$N$30</f>
        <v>29.406330685024024</v>
      </c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</row>
    <row r="22" spans="2:31" ht="21.75" customHeight="1">
      <c r="B22" s="105" t="s">
        <v>88</v>
      </c>
      <c r="C22" s="106">
        <f>173+5983+216+36</f>
        <v>6408</v>
      </c>
      <c r="D22" s="106">
        <f>1+32</f>
        <v>33</v>
      </c>
      <c r="E22" s="106">
        <f>452+5228</f>
        <v>5680</v>
      </c>
      <c r="F22" s="106">
        <f>124+1708+2+12</f>
        <v>1846</v>
      </c>
      <c r="G22" s="106">
        <f>1650+71988+204728+1336</f>
        <v>279702</v>
      </c>
      <c r="H22" s="106">
        <f>5+12+5338+16</f>
        <v>5371</v>
      </c>
      <c r="I22" s="106">
        <f>1594+387041+848+636</f>
        <v>390119</v>
      </c>
      <c r="J22" s="106">
        <f>4+844</f>
        <v>848</v>
      </c>
      <c r="K22" s="106">
        <f>845+69043</f>
        <v>69888</v>
      </c>
      <c r="L22" s="101">
        <f t="shared" si="7"/>
        <v>8098</v>
      </c>
      <c r="M22" s="107">
        <f t="shared" si="8"/>
        <v>39.57386502467869</v>
      </c>
      <c r="N22" s="101">
        <f t="shared" si="9"/>
        <v>745389</v>
      </c>
      <c r="O22" s="108">
        <f t="shared" si="10"/>
        <v>20.734058822842183</v>
      </c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</row>
    <row r="23" spans="2:31" ht="21.75" customHeight="1">
      <c r="B23" s="105" t="s">
        <v>89</v>
      </c>
      <c r="C23" s="106">
        <f>1+1357</f>
        <v>1358</v>
      </c>
      <c r="D23" s="106">
        <v>0</v>
      </c>
      <c r="E23" s="106">
        <v>0</v>
      </c>
      <c r="F23" s="106">
        <v>464</v>
      </c>
      <c r="G23" s="106">
        <v>104761</v>
      </c>
      <c r="H23" s="106">
        <v>536</v>
      </c>
      <c r="I23" s="106">
        <v>52827</v>
      </c>
      <c r="J23" s="106">
        <v>40</v>
      </c>
      <c r="K23" s="106">
        <v>7812</v>
      </c>
      <c r="L23" s="101">
        <f t="shared" si="7"/>
        <v>1040</v>
      </c>
      <c r="M23" s="107">
        <f t="shared" si="8"/>
        <v>5.082343742364267</v>
      </c>
      <c r="N23" s="101">
        <f t="shared" si="9"/>
        <v>165400</v>
      </c>
      <c r="O23" s="108">
        <f t="shared" si="10"/>
        <v>4.600837051926037</v>
      </c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</row>
    <row r="24" spans="2:31" ht="21.75" customHeight="1">
      <c r="B24" s="105" t="s">
        <v>90</v>
      </c>
      <c r="C24" s="106">
        <f>742+46</f>
        <v>788</v>
      </c>
      <c r="D24" s="106">
        <f>55</f>
        <v>55</v>
      </c>
      <c r="E24" s="106">
        <f>25232</f>
        <v>25232</v>
      </c>
      <c r="F24" s="106">
        <f>345+7</f>
        <v>352</v>
      </c>
      <c r="G24" s="106">
        <f>89543+210</f>
        <v>89753</v>
      </c>
      <c r="H24" s="106">
        <v>49</v>
      </c>
      <c r="I24" s="106">
        <f>3688+67</f>
        <v>3755</v>
      </c>
      <c r="J24" s="106">
        <f>13</f>
        <v>13</v>
      </c>
      <c r="K24" s="106">
        <v>5277</v>
      </c>
      <c r="L24" s="101">
        <f t="shared" si="7"/>
        <v>469</v>
      </c>
      <c r="M24" s="107">
        <f t="shared" si="8"/>
        <v>2.291941553046963</v>
      </c>
      <c r="N24" s="101">
        <f t="shared" si="9"/>
        <v>124017</v>
      </c>
      <c r="O24" s="108">
        <f t="shared" si="10"/>
        <v>3.4497098468483154</v>
      </c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</row>
    <row r="25" spans="2:31" ht="21.75" customHeight="1">
      <c r="B25" s="105" t="s">
        <v>91</v>
      </c>
      <c r="C25" s="106">
        <f>598+11</f>
        <v>609</v>
      </c>
      <c r="D25" s="106">
        <v>5</v>
      </c>
      <c r="E25" s="106">
        <v>234</v>
      </c>
      <c r="F25" s="106">
        <v>163</v>
      </c>
      <c r="G25" s="106">
        <v>42691</v>
      </c>
      <c r="H25" s="106">
        <v>41</v>
      </c>
      <c r="I25" s="106">
        <v>30725</v>
      </c>
      <c r="J25" s="106">
        <v>34</v>
      </c>
      <c r="K25" s="106">
        <v>31740</v>
      </c>
      <c r="L25" s="101">
        <f t="shared" si="7"/>
        <v>243</v>
      </c>
      <c r="M25" s="107">
        <f t="shared" si="8"/>
        <v>1.1875091628793433</v>
      </c>
      <c r="N25" s="101">
        <f t="shared" si="9"/>
        <v>105390</v>
      </c>
      <c r="O25" s="108">
        <f t="shared" si="10"/>
        <v>2.931573258177056</v>
      </c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</row>
    <row r="26" spans="2:31" ht="21.75" customHeight="1">
      <c r="B26" s="105" t="s">
        <v>92</v>
      </c>
      <c r="C26" s="106">
        <f>705+5</f>
        <v>710</v>
      </c>
      <c r="D26" s="106">
        <v>25</v>
      </c>
      <c r="E26" s="106">
        <v>753</v>
      </c>
      <c r="F26" s="106">
        <v>125</v>
      </c>
      <c r="G26" s="106">
        <v>20043</v>
      </c>
      <c r="H26" s="106">
        <v>89</v>
      </c>
      <c r="I26" s="106">
        <v>2968</v>
      </c>
      <c r="J26" s="106">
        <v>17</v>
      </c>
      <c r="K26" s="106">
        <v>330</v>
      </c>
      <c r="L26" s="101">
        <f t="shared" si="7"/>
        <v>256</v>
      </c>
      <c r="M26" s="107">
        <f t="shared" si="8"/>
        <v>1.2510384596588966</v>
      </c>
      <c r="N26" s="101">
        <f t="shared" si="9"/>
        <v>24094</v>
      </c>
      <c r="O26" s="108">
        <f t="shared" si="10"/>
        <v>0.6702089959438086</v>
      </c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</row>
    <row r="27" spans="2:31" ht="21.75" customHeight="1">
      <c r="B27" s="105" t="s">
        <v>93</v>
      </c>
      <c r="C27" s="106">
        <f>566+1</f>
        <v>567</v>
      </c>
      <c r="D27" s="106">
        <v>0</v>
      </c>
      <c r="E27" s="106">
        <v>0</v>
      </c>
      <c r="F27" s="106">
        <v>208</v>
      </c>
      <c r="G27" s="106">
        <v>7424</v>
      </c>
      <c r="H27" s="106">
        <v>38</v>
      </c>
      <c r="I27" s="106">
        <v>3643</v>
      </c>
      <c r="J27" s="106">
        <v>0</v>
      </c>
      <c r="K27" s="106">
        <v>0</v>
      </c>
      <c r="L27" s="101">
        <f t="shared" si="7"/>
        <v>246</v>
      </c>
      <c r="M27" s="107">
        <f t="shared" si="8"/>
        <v>1.2021697698284708</v>
      </c>
      <c r="N27" s="101">
        <f t="shared" si="9"/>
        <v>11067</v>
      </c>
      <c r="O27" s="108">
        <f t="shared" si="10"/>
        <v>0.3078443993571067</v>
      </c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2:31" ht="21.75" customHeight="1">
      <c r="B28" s="105" t="s">
        <v>94</v>
      </c>
      <c r="C28" s="106">
        <f>69+121</f>
        <v>190</v>
      </c>
      <c r="D28" s="106">
        <v>7</v>
      </c>
      <c r="E28" s="106">
        <v>621</v>
      </c>
      <c r="F28" s="106">
        <v>29</v>
      </c>
      <c r="G28" s="106">
        <f>1036+6749</f>
        <v>7785</v>
      </c>
      <c r="H28" s="106">
        <v>0</v>
      </c>
      <c r="I28" s="106">
        <v>0</v>
      </c>
      <c r="J28" s="106">
        <v>0</v>
      </c>
      <c r="K28" s="106">
        <v>0</v>
      </c>
      <c r="L28" s="101">
        <f t="shared" si="7"/>
        <v>36</v>
      </c>
      <c r="M28" s="107">
        <f t="shared" si="8"/>
        <v>0.1759272833895323</v>
      </c>
      <c r="N28" s="101">
        <f t="shared" si="9"/>
        <v>8406</v>
      </c>
      <c r="O28" s="108">
        <f t="shared" si="10"/>
        <v>0.23382488668978396</v>
      </c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</row>
    <row r="29" spans="2:31" ht="21.75" customHeight="1" thickBot="1">
      <c r="B29" s="105" t="s">
        <v>95</v>
      </c>
      <c r="C29" s="106">
        <f aca="true" t="shared" si="11" ref="C29:K29">C30-C19-C21-C22-C23-C24-C25-C26-C27-C28</f>
        <v>23159</v>
      </c>
      <c r="D29" s="106">
        <f t="shared" si="11"/>
        <v>731</v>
      </c>
      <c r="E29" s="106">
        <f t="shared" si="11"/>
        <v>86838</v>
      </c>
      <c r="F29" s="106">
        <f t="shared" si="11"/>
        <v>2654</v>
      </c>
      <c r="G29" s="106">
        <f t="shared" si="11"/>
        <v>411648</v>
      </c>
      <c r="H29" s="106">
        <f t="shared" si="11"/>
        <v>960</v>
      </c>
      <c r="I29" s="106">
        <f t="shared" si="11"/>
        <v>85330</v>
      </c>
      <c r="J29" s="106">
        <f t="shared" si="11"/>
        <v>615</v>
      </c>
      <c r="K29" s="106">
        <f t="shared" si="11"/>
        <v>39716</v>
      </c>
      <c r="L29" s="123">
        <f t="shared" si="7"/>
        <v>4960</v>
      </c>
      <c r="M29" s="107">
        <f t="shared" si="8"/>
        <v>24.23887015589112</v>
      </c>
      <c r="N29" s="123">
        <f t="shared" si="9"/>
        <v>623532</v>
      </c>
      <c r="O29" s="108">
        <f t="shared" si="10"/>
        <v>17.344432458655053</v>
      </c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</row>
    <row r="30" spans="2:31" ht="24.75" customHeight="1" thickBot="1" thickTop="1">
      <c r="B30" s="130" t="s">
        <v>82</v>
      </c>
      <c r="C30" s="131">
        <v>41558</v>
      </c>
      <c r="D30" s="131">
        <v>1072</v>
      </c>
      <c r="E30" s="131">
        <v>163729</v>
      </c>
      <c r="F30" s="131">
        <v>7782</v>
      </c>
      <c r="G30" s="131">
        <v>2430738</v>
      </c>
      <c r="H30" s="131">
        <v>9807</v>
      </c>
      <c r="I30" s="131">
        <v>830288</v>
      </c>
      <c r="J30" s="131">
        <v>1802</v>
      </c>
      <c r="K30" s="131">
        <v>170243</v>
      </c>
      <c r="L30" s="132">
        <f t="shared" si="7"/>
        <v>20463</v>
      </c>
      <c r="M30" s="133">
        <f>SUM(M9:M29)</f>
        <v>100</v>
      </c>
      <c r="N30" s="134">
        <f t="shared" si="9"/>
        <v>3594998</v>
      </c>
      <c r="O30" s="135">
        <f>SUM(O9:O29)</f>
        <v>100</v>
      </c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</row>
    <row r="31" spans="2:31" ht="15.75" thickTop="1">
      <c r="B31" s="89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</row>
    <row r="32" spans="2:31" ht="15">
      <c r="B32" s="89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</row>
    <row r="33" spans="2:31" ht="15">
      <c r="B33" s="89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</row>
    <row r="34" spans="2:31" ht="15">
      <c r="B34" s="89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</row>
    <row r="35" spans="2:31" ht="15">
      <c r="B35" s="89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</row>
    <row r="36" spans="2:31" ht="15">
      <c r="B36" s="89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</row>
    <row r="37" spans="2:31" ht="15">
      <c r="B37" s="89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</row>
    <row r="38" spans="2:31" ht="15">
      <c r="B38" s="89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</row>
    <row r="39" spans="2:31" ht="15">
      <c r="B39" s="89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</row>
    <row r="40" spans="2:31" ht="15">
      <c r="B40" s="89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</row>
    <row r="41" spans="2:31" ht="15">
      <c r="B41" s="89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</row>
    <row r="42" spans="2:31" ht="15">
      <c r="B42" s="89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</row>
    <row r="43" spans="2:31" ht="15">
      <c r="B43" s="89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</row>
    <row r="44" spans="2:31" ht="15">
      <c r="B44" s="89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</row>
    <row r="45" spans="2:31" ht="15">
      <c r="B45" s="89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</row>
    <row r="46" spans="2:31" ht="15">
      <c r="B46" s="89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</row>
    <row r="47" spans="2:31" ht="15">
      <c r="B47" s="89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</row>
    <row r="48" spans="2:31" ht="15">
      <c r="B48" s="89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</row>
    <row r="49" spans="2:31" ht="15">
      <c r="B49" s="89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</row>
    <row r="50" spans="2:31" ht="15">
      <c r="B50" s="89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</row>
    <row r="51" spans="2:31" ht="15">
      <c r="B51" s="89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</row>
    <row r="52" spans="2:31" ht="15">
      <c r="B52" s="89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</row>
    <row r="53" spans="2:31" ht="15">
      <c r="B53" s="89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</row>
    <row r="54" spans="2:31" ht="15">
      <c r="B54" s="89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</row>
    <row r="55" spans="2:31" ht="15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</row>
    <row r="56" spans="2:31" ht="15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</row>
    <row r="57" spans="2:31" ht="15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</row>
    <row r="58" spans="2:31" ht="15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</row>
    <row r="59" spans="2:31" ht="15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</row>
    <row r="60" spans="2:31" ht="15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</row>
    <row r="61" spans="2:31" ht="15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</row>
    <row r="62" spans="2:31" ht="15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</row>
    <row r="63" spans="2:31" ht="15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</row>
    <row r="64" spans="2:31" ht="15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</row>
  </sheetData>
  <mergeCells count="10">
    <mergeCell ref="B1:O1"/>
    <mergeCell ref="B2:O2"/>
    <mergeCell ref="B5:B7"/>
    <mergeCell ref="C5:C7"/>
    <mergeCell ref="L6:O6"/>
    <mergeCell ref="F6:G6"/>
    <mergeCell ref="D6:E6"/>
    <mergeCell ref="H6:I6"/>
    <mergeCell ref="J6:K6"/>
    <mergeCell ref="D5:O5"/>
  </mergeCells>
  <printOptions horizontalCentered="1" verticalCentered="1"/>
  <pageMargins left="0.7874015748031497" right="0.7874015748031497" top="0.3937007874015748" bottom="0.984251968503937" header="0" footer="0.5118110236220472"/>
  <pageSetup horizontalDpi="360" verticalDpi="36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L35"/>
  <sheetViews>
    <sheetView workbookViewId="0" topLeftCell="B3">
      <selection activeCell="M22" sqref="M22"/>
    </sheetView>
  </sheetViews>
  <sheetFormatPr defaultColWidth="9.140625" defaultRowHeight="12.75"/>
  <cols>
    <col min="1" max="1" width="7.28125" style="137" customWidth="1"/>
    <col min="2" max="2" width="3.00390625" style="137" customWidth="1"/>
    <col min="3" max="3" width="39.28125" style="137" customWidth="1"/>
    <col min="4" max="4" width="9.140625" style="137" customWidth="1"/>
    <col min="5" max="5" width="11.7109375" style="137" customWidth="1"/>
    <col min="6" max="6" width="10.57421875" style="137" customWidth="1"/>
    <col min="7" max="7" width="7.00390625" style="137" customWidth="1"/>
    <col min="8" max="8" width="7.28125" style="137" customWidth="1"/>
    <col min="9" max="9" width="10.421875" style="137" customWidth="1"/>
    <col min="10" max="10" width="6.421875" style="137" customWidth="1"/>
    <col min="11" max="11" width="6.140625" style="137" customWidth="1"/>
    <col min="12" max="12" width="23.421875" style="137" customWidth="1"/>
    <col min="13" max="16384" width="9.140625" style="137" customWidth="1"/>
  </cols>
  <sheetData>
    <row r="1" ht="18">
      <c r="D1" s="138" t="s">
        <v>98</v>
      </c>
    </row>
    <row r="2" ht="15">
      <c r="E2" s="139"/>
    </row>
    <row r="3" spans="3:4" ht="18" customHeight="1" thickBot="1">
      <c r="C3" s="139" t="s">
        <v>99</v>
      </c>
      <c r="D3" s="140"/>
    </row>
    <row r="4" spans="3:12" ht="13.5" thickBot="1">
      <c r="C4" s="383" t="s">
        <v>100</v>
      </c>
      <c r="D4" s="373" t="s">
        <v>101</v>
      </c>
      <c r="E4" s="373" t="s">
        <v>102</v>
      </c>
      <c r="F4" s="373" t="s">
        <v>103</v>
      </c>
      <c r="G4" s="377" t="s">
        <v>104</v>
      </c>
      <c r="H4" s="378"/>
      <c r="I4" s="378"/>
      <c r="J4" s="378"/>
      <c r="K4" s="379"/>
      <c r="L4" s="373" t="s">
        <v>105</v>
      </c>
    </row>
    <row r="5" spans="3:12" ht="13.5" thickBot="1">
      <c r="C5" s="384"/>
      <c r="D5" s="386"/>
      <c r="E5" s="374"/>
      <c r="F5" s="374"/>
      <c r="G5" s="376" t="s">
        <v>106</v>
      </c>
      <c r="H5" s="376" t="s">
        <v>107</v>
      </c>
      <c r="I5" s="380" t="s">
        <v>108</v>
      </c>
      <c r="J5" s="381"/>
      <c r="K5" s="382"/>
      <c r="L5" s="374"/>
    </row>
    <row r="6" spans="3:12" ht="13.5" thickBot="1">
      <c r="C6" s="385"/>
      <c r="D6" s="387"/>
      <c r="E6" s="375"/>
      <c r="F6" s="375"/>
      <c r="G6" s="375"/>
      <c r="H6" s="375"/>
      <c r="I6" s="141" t="s">
        <v>109</v>
      </c>
      <c r="J6" s="142" t="s">
        <v>110</v>
      </c>
      <c r="K6" s="143" t="s">
        <v>111</v>
      </c>
      <c r="L6" s="375"/>
    </row>
    <row r="7" spans="3:12" ht="15">
      <c r="C7" s="144" t="s">
        <v>112</v>
      </c>
      <c r="D7" s="145"/>
      <c r="E7" s="146"/>
      <c r="F7" s="145"/>
      <c r="G7" s="146"/>
      <c r="H7" s="147"/>
      <c r="I7" s="145"/>
      <c r="J7" s="145"/>
      <c r="K7" s="145"/>
      <c r="L7" s="148"/>
    </row>
    <row r="8" spans="3:12" ht="12.75">
      <c r="C8" s="149" t="s">
        <v>113</v>
      </c>
      <c r="D8" s="150">
        <v>4</v>
      </c>
      <c r="E8" s="150">
        <v>4</v>
      </c>
      <c r="F8" s="150" t="s">
        <v>114</v>
      </c>
      <c r="G8" s="150">
        <v>4</v>
      </c>
      <c r="H8" s="151">
        <f>G8/$E$8*100</f>
        <v>100</v>
      </c>
      <c r="I8" s="150">
        <v>4</v>
      </c>
      <c r="J8" s="150" t="s">
        <v>115</v>
      </c>
      <c r="K8" s="150" t="s">
        <v>115</v>
      </c>
      <c r="L8" s="152">
        <v>103</v>
      </c>
    </row>
    <row r="9" spans="3:12" ht="12.75">
      <c r="C9" s="149" t="s">
        <v>116</v>
      </c>
      <c r="D9" s="150">
        <v>45</v>
      </c>
      <c r="E9" s="150">
        <v>39</v>
      </c>
      <c r="F9" s="150">
        <v>16</v>
      </c>
      <c r="G9" s="150">
        <v>23</v>
      </c>
      <c r="H9" s="151">
        <f>G9/$E$9*100</f>
        <v>58.97435897435898</v>
      </c>
      <c r="I9" s="150">
        <v>10</v>
      </c>
      <c r="J9" s="150">
        <v>8</v>
      </c>
      <c r="K9" s="150">
        <v>5</v>
      </c>
      <c r="L9" s="152" t="s">
        <v>117</v>
      </c>
    </row>
    <row r="10" spans="3:12" ht="12.75">
      <c r="C10" s="149" t="s">
        <v>118</v>
      </c>
      <c r="D10" s="150">
        <v>98</v>
      </c>
      <c r="E10" s="150">
        <v>62</v>
      </c>
      <c r="F10" s="150">
        <v>28</v>
      </c>
      <c r="G10" s="150">
        <v>34</v>
      </c>
      <c r="H10" s="151">
        <f>G10/E10*100</f>
        <v>54.83870967741935</v>
      </c>
      <c r="I10" s="150">
        <v>33</v>
      </c>
      <c r="J10" s="150">
        <v>0</v>
      </c>
      <c r="K10" s="150">
        <v>1</v>
      </c>
      <c r="L10" s="152" t="s">
        <v>119</v>
      </c>
    </row>
    <row r="11" spans="3:12" ht="12.75">
      <c r="C11" s="149" t="s">
        <v>120</v>
      </c>
      <c r="D11" s="150">
        <v>7</v>
      </c>
      <c r="E11" s="150">
        <v>7</v>
      </c>
      <c r="F11" s="150">
        <v>7</v>
      </c>
      <c r="G11" s="150">
        <v>0</v>
      </c>
      <c r="H11" s="151">
        <f>G11/E11*100</f>
        <v>0</v>
      </c>
      <c r="I11" s="150" t="s">
        <v>115</v>
      </c>
      <c r="J11" s="150" t="s">
        <v>115</v>
      </c>
      <c r="K11" s="150" t="s">
        <v>115</v>
      </c>
      <c r="L11" s="152" t="s">
        <v>121</v>
      </c>
    </row>
    <row r="12" spans="3:12" ht="12.75">
      <c r="C12" s="153" t="s">
        <v>122</v>
      </c>
      <c r="D12" s="150">
        <v>1</v>
      </c>
      <c r="E12" s="150">
        <v>1</v>
      </c>
      <c r="F12" s="150">
        <v>0</v>
      </c>
      <c r="G12" s="150">
        <v>1</v>
      </c>
      <c r="H12" s="151">
        <f>G12/E12*100</f>
        <v>100</v>
      </c>
      <c r="I12" s="150" t="s">
        <v>115</v>
      </c>
      <c r="J12" s="150" t="s">
        <v>115</v>
      </c>
      <c r="K12" s="150">
        <v>1</v>
      </c>
      <c r="L12" s="152">
        <v>115</v>
      </c>
    </row>
    <row r="13" spans="3:12" ht="12.75">
      <c r="C13" s="149"/>
      <c r="D13" s="150"/>
      <c r="E13" s="150"/>
      <c r="F13" s="150"/>
      <c r="G13" s="150"/>
      <c r="H13" s="151"/>
      <c r="I13" s="150"/>
      <c r="J13" s="150"/>
      <c r="K13" s="150"/>
      <c r="L13" s="152"/>
    </row>
    <row r="14" spans="3:12" ht="12.75">
      <c r="C14" s="154" t="s">
        <v>123</v>
      </c>
      <c r="D14" s="155">
        <f>SUM(D8:D13)</f>
        <v>155</v>
      </c>
      <c r="E14" s="155">
        <f>SUM(E8:E13)</f>
        <v>113</v>
      </c>
      <c r="F14" s="155">
        <f>SUM(F8:F13)</f>
        <v>51</v>
      </c>
      <c r="G14" s="155">
        <f>SUM(G8:G13)</f>
        <v>62</v>
      </c>
      <c r="H14" s="156">
        <f>G14/E14*100</f>
        <v>54.86725663716814</v>
      </c>
      <c r="I14" s="155">
        <f>SUM(I8:I13)</f>
        <v>47</v>
      </c>
      <c r="J14" s="155">
        <f>SUM(J8:J13)</f>
        <v>8</v>
      </c>
      <c r="K14" s="155">
        <f>SUM(K8:K13)</f>
        <v>7</v>
      </c>
      <c r="L14" s="157" t="s">
        <v>115</v>
      </c>
    </row>
    <row r="15" spans="3:12" ht="12.75">
      <c r="C15" s="370"/>
      <c r="D15" s="371"/>
      <c r="E15" s="371"/>
      <c r="F15" s="371"/>
      <c r="G15" s="371"/>
      <c r="H15" s="371"/>
      <c r="I15" s="371"/>
      <c r="J15" s="371"/>
      <c r="K15" s="371"/>
      <c r="L15" s="372"/>
    </row>
    <row r="16" spans="3:12" ht="12.75">
      <c r="C16" s="154" t="s">
        <v>124</v>
      </c>
      <c r="D16" s="158"/>
      <c r="E16" s="158"/>
      <c r="F16" s="159"/>
      <c r="G16" s="158"/>
      <c r="H16" s="160"/>
      <c r="I16" s="158"/>
      <c r="J16" s="158"/>
      <c r="K16" s="158"/>
      <c r="L16" s="161"/>
    </row>
    <row r="17" spans="3:12" ht="13.5" customHeight="1">
      <c r="C17" s="149" t="s">
        <v>125</v>
      </c>
      <c r="D17" s="150">
        <v>4</v>
      </c>
      <c r="E17" s="150">
        <v>3</v>
      </c>
      <c r="F17" s="150">
        <v>1</v>
      </c>
      <c r="G17" s="150">
        <v>2</v>
      </c>
      <c r="H17" s="162">
        <f>G17/E17*100</f>
        <v>66.66666666666666</v>
      </c>
      <c r="I17" s="150">
        <v>1</v>
      </c>
      <c r="J17" s="150" t="s">
        <v>65</v>
      </c>
      <c r="K17" s="150">
        <v>1</v>
      </c>
      <c r="L17" s="152">
        <v>104</v>
      </c>
    </row>
    <row r="18" spans="3:12" ht="13.5" customHeight="1">
      <c r="C18" s="153" t="s">
        <v>126</v>
      </c>
      <c r="D18" s="150">
        <v>30</v>
      </c>
      <c r="E18" s="150">
        <v>30</v>
      </c>
      <c r="F18" s="150">
        <v>30</v>
      </c>
      <c r="G18" s="150">
        <v>0</v>
      </c>
      <c r="H18" s="162">
        <f>G18/E18*100</f>
        <v>0</v>
      </c>
      <c r="I18" s="150" t="s">
        <v>65</v>
      </c>
      <c r="J18" s="150" t="s">
        <v>65</v>
      </c>
      <c r="K18" s="150" t="s">
        <v>114</v>
      </c>
      <c r="L18" s="152">
        <v>118</v>
      </c>
    </row>
    <row r="19" spans="3:12" ht="12.75">
      <c r="C19" s="149" t="s">
        <v>127</v>
      </c>
      <c r="D19" s="150">
        <v>13</v>
      </c>
      <c r="E19" s="150">
        <v>12</v>
      </c>
      <c r="F19" s="150">
        <v>3</v>
      </c>
      <c r="G19" s="150">
        <v>9</v>
      </c>
      <c r="H19" s="162">
        <f>G19/E19*100</f>
        <v>75</v>
      </c>
      <c r="I19" s="150">
        <v>8</v>
      </c>
      <c r="J19" s="150" t="s">
        <v>114</v>
      </c>
      <c r="K19" s="150">
        <v>1</v>
      </c>
      <c r="L19" s="152">
        <v>104</v>
      </c>
    </row>
    <row r="20" spans="3:12" ht="12.75">
      <c r="C20" s="149" t="s">
        <v>128</v>
      </c>
      <c r="D20" s="150">
        <v>2</v>
      </c>
      <c r="E20" s="150">
        <v>2</v>
      </c>
      <c r="F20" s="150">
        <v>0</v>
      </c>
      <c r="G20" s="150">
        <v>2</v>
      </c>
      <c r="H20" s="162">
        <f>G20/E20*100</f>
        <v>100</v>
      </c>
      <c r="I20" s="150">
        <v>2</v>
      </c>
      <c r="J20" s="150" t="s">
        <v>114</v>
      </c>
      <c r="K20" s="150" t="s">
        <v>115</v>
      </c>
      <c r="L20" s="152">
        <v>129</v>
      </c>
    </row>
    <row r="21" spans="3:12" ht="12.75">
      <c r="C21" s="149" t="s">
        <v>129</v>
      </c>
      <c r="D21" s="150">
        <v>2</v>
      </c>
      <c r="E21" s="150">
        <v>2</v>
      </c>
      <c r="F21" s="150">
        <v>0</v>
      </c>
      <c r="G21" s="150">
        <v>2</v>
      </c>
      <c r="H21" s="162">
        <f>G21/D21*100</f>
        <v>100</v>
      </c>
      <c r="I21" s="150" t="s">
        <v>115</v>
      </c>
      <c r="J21" s="150" t="s">
        <v>65</v>
      </c>
      <c r="K21" s="150">
        <v>2</v>
      </c>
      <c r="L21" s="152">
        <v>103</v>
      </c>
    </row>
    <row r="22" spans="3:12" ht="12.75">
      <c r="C22" s="163" t="s">
        <v>130</v>
      </c>
      <c r="D22" s="164">
        <v>2</v>
      </c>
      <c r="E22" s="164">
        <v>2</v>
      </c>
      <c r="F22" s="164">
        <v>0</v>
      </c>
      <c r="G22" s="164">
        <v>2</v>
      </c>
      <c r="H22" s="165">
        <f aca="true" t="shared" si="0" ref="H22:H29">G22/E22*100</f>
        <v>100</v>
      </c>
      <c r="I22" s="164" t="s">
        <v>115</v>
      </c>
      <c r="J22" s="164" t="s">
        <v>65</v>
      </c>
      <c r="K22" s="150">
        <v>2</v>
      </c>
      <c r="L22" s="166">
        <v>104</v>
      </c>
    </row>
    <row r="23" spans="3:12" ht="12.75">
      <c r="C23" s="163" t="s">
        <v>131</v>
      </c>
      <c r="D23" s="164">
        <v>3</v>
      </c>
      <c r="E23" s="164">
        <v>2</v>
      </c>
      <c r="F23" s="164">
        <v>1</v>
      </c>
      <c r="G23" s="164">
        <v>1</v>
      </c>
      <c r="H23" s="165">
        <f t="shared" si="0"/>
        <v>50</v>
      </c>
      <c r="I23" s="164">
        <v>1</v>
      </c>
      <c r="J23" s="164" t="s">
        <v>65</v>
      </c>
      <c r="K23" s="150" t="s">
        <v>65</v>
      </c>
      <c r="L23" s="166" t="s">
        <v>132</v>
      </c>
    </row>
    <row r="24" spans="3:12" ht="12.75">
      <c r="C24" s="163" t="s">
        <v>133</v>
      </c>
      <c r="D24" s="164">
        <v>4</v>
      </c>
      <c r="E24" s="164">
        <v>4</v>
      </c>
      <c r="F24" s="164">
        <v>4</v>
      </c>
      <c r="G24" s="164">
        <v>0</v>
      </c>
      <c r="H24" s="165">
        <f t="shared" si="0"/>
        <v>0</v>
      </c>
      <c r="I24" s="164" t="s">
        <v>114</v>
      </c>
      <c r="J24" s="164" t="s">
        <v>65</v>
      </c>
      <c r="K24" s="150" t="s">
        <v>65</v>
      </c>
      <c r="L24" s="166">
        <v>111</v>
      </c>
    </row>
    <row r="25" spans="3:12" s="167" customFormat="1" ht="12.75">
      <c r="C25" s="163" t="s">
        <v>134</v>
      </c>
      <c r="D25" s="164">
        <v>23</v>
      </c>
      <c r="E25" s="164">
        <v>23</v>
      </c>
      <c r="F25" s="164">
        <v>22</v>
      </c>
      <c r="G25" s="164">
        <v>1</v>
      </c>
      <c r="H25" s="165">
        <f t="shared" si="0"/>
        <v>4.3478260869565215</v>
      </c>
      <c r="I25" s="164">
        <v>1</v>
      </c>
      <c r="J25" s="164" t="s">
        <v>65</v>
      </c>
      <c r="K25" s="150" t="s">
        <v>65</v>
      </c>
      <c r="L25" s="166">
        <v>119</v>
      </c>
    </row>
    <row r="26" spans="3:12" ht="12.75">
      <c r="C26" s="163" t="s">
        <v>135</v>
      </c>
      <c r="D26" s="164">
        <v>1</v>
      </c>
      <c r="E26" s="164">
        <v>2</v>
      </c>
      <c r="F26" s="164">
        <v>0</v>
      </c>
      <c r="G26" s="164">
        <v>2</v>
      </c>
      <c r="H26" s="165">
        <f t="shared" si="0"/>
        <v>100</v>
      </c>
      <c r="I26" s="164">
        <v>1</v>
      </c>
      <c r="J26" s="164" t="s">
        <v>65</v>
      </c>
      <c r="K26" s="150">
        <v>1</v>
      </c>
      <c r="L26" s="166" t="s">
        <v>136</v>
      </c>
    </row>
    <row r="27" spans="3:12" ht="12.75">
      <c r="C27" s="163" t="s">
        <v>137</v>
      </c>
      <c r="D27" s="164">
        <v>11</v>
      </c>
      <c r="E27" s="164">
        <v>11</v>
      </c>
      <c r="F27" s="164">
        <v>4</v>
      </c>
      <c r="G27" s="164">
        <v>7</v>
      </c>
      <c r="H27" s="165">
        <f t="shared" si="0"/>
        <v>63.63636363636363</v>
      </c>
      <c r="I27" s="164" t="s">
        <v>138</v>
      </c>
      <c r="J27" s="164" t="s">
        <v>138</v>
      </c>
      <c r="K27" s="150">
        <v>7</v>
      </c>
      <c r="L27" s="166" t="s">
        <v>139</v>
      </c>
    </row>
    <row r="28" spans="3:12" ht="12.75">
      <c r="C28" s="163" t="s">
        <v>140</v>
      </c>
      <c r="D28" s="164">
        <v>0</v>
      </c>
      <c r="E28" s="164">
        <v>1</v>
      </c>
      <c r="F28" s="164">
        <v>0</v>
      </c>
      <c r="G28" s="164">
        <v>1</v>
      </c>
      <c r="H28" s="165">
        <f t="shared" si="0"/>
        <v>100</v>
      </c>
      <c r="I28" s="164">
        <v>1</v>
      </c>
      <c r="J28" s="164" t="s">
        <v>65</v>
      </c>
      <c r="K28" s="150" t="s">
        <v>114</v>
      </c>
      <c r="L28" s="166">
        <v>104</v>
      </c>
    </row>
    <row r="29" spans="3:12" ht="12.75">
      <c r="C29" s="168" t="s">
        <v>141</v>
      </c>
      <c r="D29" s="169">
        <f>SUM(D17:D28)</f>
        <v>95</v>
      </c>
      <c r="E29" s="169">
        <f>SUM(E17:E28)</f>
        <v>94</v>
      </c>
      <c r="F29" s="169">
        <f>SUM(F17:F28)</f>
        <v>65</v>
      </c>
      <c r="G29" s="169">
        <f>SUM(G17:G28)</f>
        <v>29</v>
      </c>
      <c r="H29" s="170">
        <f t="shared" si="0"/>
        <v>30.851063829787233</v>
      </c>
      <c r="I29" s="169">
        <f>SUM(I17:I28)</f>
        <v>15</v>
      </c>
      <c r="J29" s="169">
        <f>SUM(J17:J28)</f>
        <v>0</v>
      </c>
      <c r="K29" s="169">
        <f>SUM(K17:K28)</f>
        <v>14</v>
      </c>
      <c r="L29" s="171" t="s">
        <v>115</v>
      </c>
    </row>
    <row r="30" spans="3:12" ht="12.75">
      <c r="C30" s="168"/>
      <c r="D30" s="145"/>
      <c r="E30" s="145"/>
      <c r="F30" s="145"/>
      <c r="G30" s="145"/>
      <c r="H30" s="172"/>
      <c r="I30" s="145"/>
      <c r="J30" s="145"/>
      <c r="K30" s="145"/>
      <c r="L30" s="171" t="s">
        <v>115</v>
      </c>
    </row>
    <row r="31" spans="3:12" s="178" customFormat="1" ht="16.5" thickBot="1">
      <c r="C31" s="173" t="s">
        <v>142</v>
      </c>
      <c r="D31" s="174">
        <f>D14+D29</f>
        <v>250</v>
      </c>
      <c r="E31" s="174">
        <f>E14+E29</f>
        <v>207</v>
      </c>
      <c r="F31" s="174">
        <f>F14+F29</f>
        <v>116</v>
      </c>
      <c r="G31" s="174">
        <f>G14+G29</f>
        <v>91</v>
      </c>
      <c r="H31" s="175">
        <f>G31/E31*100</f>
        <v>43.96135265700483</v>
      </c>
      <c r="I31" s="174">
        <f>I14+I29</f>
        <v>62</v>
      </c>
      <c r="J31" s="176">
        <f>J14+J29</f>
        <v>8</v>
      </c>
      <c r="K31" s="176">
        <f>K14+K29</f>
        <v>21</v>
      </c>
      <c r="L31" s="177" t="s">
        <v>115</v>
      </c>
    </row>
    <row r="32" ht="12.75">
      <c r="H32" s="179"/>
    </row>
    <row r="33" spans="3:8" ht="12.75">
      <c r="C33" s="180" t="s">
        <v>145</v>
      </c>
      <c r="H33" s="179"/>
    </row>
    <row r="34" spans="3:8" ht="12.75">
      <c r="C34" s="181" t="s">
        <v>143</v>
      </c>
      <c r="H34" s="179"/>
    </row>
    <row r="35" ht="12.75">
      <c r="C35" s="137" t="s">
        <v>144</v>
      </c>
    </row>
  </sheetData>
  <mergeCells count="10">
    <mergeCell ref="C15:L15"/>
    <mergeCell ref="L4:L6"/>
    <mergeCell ref="G5:G6"/>
    <mergeCell ref="H5:H6"/>
    <mergeCell ref="G4:K4"/>
    <mergeCell ref="I5:K5"/>
    <mergeCell ref="C4:C6"/>
    <mergeCell ref="D4:D6"/>
    <mergeCell ref="E4:E6"/>
    <mergeCell ref="F4:F6"/>
  </mergeCells>
  <printOptions horizontalCentered="1" verticalCentered="1"/>
  <pageMargins left="0" right="0" top="0" bottom="0" header="0" footer="0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árok1"/>
  <dimension ref="B1:M34"/>
  <sheetViews>
    <sheetView zoomScale="75" zoomScaleNormal="75" workbookViewId="0" topLeftCell="A13">
      <selection activeCell="J27" sqref="J27"/>
    </sheetView>
  </sheetViews>
  <sheetFormatPr defaultColWidth="9.140625" defaultRowHeight="12.75"/>
  <cols>
    <col min="2" max="2" width="23.57421875" style="0" customWidth="1"/>
    <col min="3" max="3" width="9.7109375" style="0" customWidth="1"/>
    <col min="4" max="4" width="8.7109375" style="0" customWidth="1"/>
    <col min="5" max="5" width="9.7109375" style="0" customWidth="1"/>
    <col min="6" max="6" width="11.7109375" style="0" customWidth="1"/>
    <col min="7" max="7" width="11.140625" style="0" customWidth="1"/>
    <col min="8" max="8" width="12.421875" style="0" customWidth="1"/>
    <col min="9" max="9" width="9.8515625" style="0" customWidth="1"/>
    <col min="10" max="10" width="12.7109375" style="0" customWidth="1"/>
    <col min="11" max="11" width="15.00390625" style="0" customWidth="1"/>
  </cols>
  <sheetData>
    <row r="1" spans="2:10" ht="23.25" customHeight="1">
      <c r="B1" s="89"/>
      <c r="C1" s="182" t="s">
        <v>146</v>
      </c>
      <c r="E1" s="89"/>
      <c r="G1" s="89"/>
      <c r="H1" s="89"/>
      <c r="I1" s="89"/>
      <c r="J1" s="89"/>
    </row>
    <row r="2" spans="2:12" ht="24.75" customHeight="1" thickBot="1">
      <c r="B2" s="90" t="s">
        <v>147</v>
      </c>
      <c r="C2" s="89"/>
      <c r="D2" s="89"/>
      <c r="E2" s="89"/>
      <c r="F2" s="89"/>
      <c r="G2" s="89"/>
      <c r="H2" s="89"/>
      <c r="I2" s="89"/>
      <c r="J2" s="89"/>
      <c r="L2" t="s">
        <v>148</v>
      </c>
    </row>
    <row r="3" spans="2:11" ht="30" customHeight="1" thickBot="1" thickTop="1">
      <c r="B3" s="183" t="s">
        <v>149</v>
      </c>
      <c r="C3" s="184" t="s">
        <v>150</v>
      </c>
      <c r="D3" s="185" t="s">
        <v>151</v>
      </c>
      <c r="E3" s="186"/>
      <c r="F3" s="184" t="s">
        <v>152</v>
      </c>
      <c r="G3" s="185" t="s">
        <v>153</v>
      </c>
      <c r="H3" s="186"/>
      <c r="I3" s="187" t="s">
        <v>154</v>
      </c>
      <c r="J3" s="188" t="s">
        <v>155</v>
      </c>
      <c r="K3" s="189" t="s">
        <v>156</v>
      </c>
    </row>
    <row r="4" spans="2:11" ht="30" customHeight="1" thickBot="1">
      <c r="B4" s="40" t="s">
        <v>157</v>
      </c>
      <c r="C4" s="190" t="s">
        <v>158</v>
      </c>
      <c r="D4" s="191" t="s">
        <v>159</v>
      </c>
      <c r="E4" s="192" t="s">
        <v>160</v>
      </c>
      <c r="F4" s="190" t="s">
        <v>158</v>
      </c>
      <c r="G4" s="193" t="s">
        <v>161</v>
      </c>
      <c r="H4" s="194" t="s">
        <v>162</v>
      </c>
      <c r="I4" s="195"/>
      <c r="J4" s="196" t="s">
        <v>163</v>
      </c>
      <c r="K4" s="197" t="s">
        <v>164</v>
      </c>
    </row>
    <row r="5" spans="2:11" ht="24.75" customHeight="1" thickTop="1">
      <c r="B5" s="198" t="s">
        <v>6</v>
      </c>
      <c r="C5" s="199">
        <v>1998</v>
      </c>
      <c r="D5" s="199">
        <v>1786</v>
      </c>
      <c r="E5" s="200">
        <f aca="true" t="shared" si="0" ref="E5:E12">C5-D5</f>
        <v>212</v>
      </c>
      <c r="F5" s="199">
        <v>1302</v>
      </c>
      <c r="G5" s="199">
        <v>543</v>
      </c>
      <c r="H5" s="201">
        <f aca="true" t="shared" si="1" ref="H5:H12">F5-G5</f>
        <v>759</v>
      </c>
      <c r="I5" s="199">
        <v>619</v>
      </c>
      <c r="J5" s="199">
        <v>25</v>
      </c>
      <c r="K5" s="202">
        <v>49</v>
      </c>
    </row>
    <row r="6" spans="2:11" ht="24.75" customHeight="1">
      <c r="B6" s="105" t="s">
        <v>7</v>
      </c>
      <c r="C6" s="203">
        <v>540</v>
      </c>
      <c r="D6" s="203">
        <v>409</v>
      </c>
      <c r="E6" s="204">
        <f t="shared" si="0"/>
        <v>131</v>
      </c>
      <c r="F6" s="203">
        <v>404</v>
      </c>
      <c r="G6" s="203">
        <v>183</v>
      </c>
      <c r="H6" s="201">
        <f t="shared" si="1"/>
        <v>221</v>
      </c>
      <c r="I6" s="203">
        <v>55</v>
      </c>
      <c r="J6" s="203">
        <v>3</v>
      </c>
      <c r="K6" s="205">
        <v>60</v>
      </c>
    </row>
    <row r="7" spans="2:11" ht="24.75" customHeight="1">
      <c r="B7" s="105" t="s">
        <v>8</v>
      </c>
      <c r="C7" s="203">
        <v>987</v>
      </c>
      <c r="D7" s="203">
        <v>884</v>
      </c>
      <c r="E7" s="204">
        <f t="shared" si="0"/>
        <v>103</v>
      </c>
      <c r="F7" s="203">
        <v>429</v>
      </c>
      <c r="G7" s="203">
        <v>210</v>
      </c>
      <c r="H7" s="201">
        <f t="shared" si="1"/>
        <v>219</v>
      </c>
      <c r="I7" s="203">
        <v>22</v>
      </c>
      <c r="J7" s="203">
        <v>1</v>
      </c>
      <c r="K7" s="205">
        <v>90</v>
      </c>
    </row>
    <row r="8" spans="2:11" s="206" customFormat="1" ht="24.75" customHeight="1">
      <c r="B8" s="105" t="s">
        <v>9</v>
      </c>
      <c r="C8" s="203">
        <v>877</v>
      </c>
      <c r="D8" s="203">
        <v>797</v>
      </c>
      <c r="E8" s="204">
        <f t="shared" si="0"/>
        <v>80</v>
      </c>
      <c r="F8" s="203">
        <v>482</v>
      </c>
      <c r="G8" s="203">
        <v>190</v>
      </c>
      <c r="H8" s="201">
        <f t="shared" si="1"/>
        <v>292</v>
      </c>
      <c r="I8" s="203">
        <v>211</v>
      </c>
      <c r="J8" s="203">
        <v>71</v>
      </c>
      <c r="K8" s="205">
        <v>84</v>
      </c>
    </row>
    <row r="9" spans="2:11" ht="24.75" customHeight="1">
      <c r="B9" s="105" t="s">
        <v>10</v>
      </c>
      <c r="C9" s="203">
        <v>721</v>
      </c>
      <c r="D9" s="203">
        <v>672</v>
      </c>
      <c r="E9" s="204">
        <f t="shared" si="0"/>
        <v>49</v>
      </c>
      <c r="F9" s="203">
        <v>522</v>
      </c>
      <c r="G9" s="203">
        <v>313</v>
      </c>
      <c r="H9" s="201">
        <f t="shared" si="1"/>
        <v>209</v>
      </c>
      <c r="I9" s="203">
        <v>29</v>
      </c>
      <c r="J9" s="203">
        <v>38</v>
      </c>
      <c r="K9" s="205">
        <v>88</v>
      </c>
    </row>
    <row r="10" spans="2:11" ht="24.75" customHeight="1">
      <c r="B10" s="105" t="s">
        <v>11</v>
      </c>
      <c r="C10" s="203">
        <v>987</v>
      </c>
      <c r="D10" s="203">
        <v>834</v>
      </c>
      <c r="E10" s="204">
        <f t="shared" si="0"/>
        <v>153</v>
      </c>
      <c r="F10" s="203">
        <v>516</v>
      </c>
      <c r="G10" s="203">
        <v>280</v>
      </c>
      <c r="H10" s="201">
        <f t="shared" si="1"/>
        <v>236</v>
      </c>
      <c r="I10" s="203">
        <v>39</v>
      </c>
      <c r="J10" s="203">
        <v>40</v>
      </c>
      <c r="K10" s="205">
        <v>104</v>
      </c>
    </row>
    <row r="11" spans="2:11" ht="24.75" customHeight="1">
      <c r="B11" s="105" t="s">
        <v>12</v>
      </c>
      <c r="C11" s="203">
        <v>1081</v>
      </c>
      <c r="D11" s="203">
        <v>899</v>
      </c>
      <c r="E11" s="204">
        <f t="shared" si="0"/>
        <v>182</v>
      </c>
      <c r="F11" s="203">
        <v>735</v>
      </c>
      <c r="G11" s="203">
        <v>303</v>
      </c>
      <c r="H11" s="201">
        <f t="shared" si="1"/>
        <v>432</v>
      </c>
      <c r="I11" s="203">
        <v>71</v>
      </c>
      <c r="J11" s="203">
        <v>96</v>
      </c>
      <c r="K11" s="205">
        <v>95</v>
      </c>
    </row>
    <row r="12" spans="2:11" ht="24.75" customHeight="1">
      <c r="B12" s="207" t="s">
        <v>13</v>
      </c>
      <c r="C12" s="208">
        <v>1213</v>
      </c>
      <c r="D12" s="208">
        <v>988</v>
      </c>
      <c r="E12" s="204">
        <f t="shared" si="0"/>
        <v>225</v>
      </c>
      <c r="F12" s="209">
        <v>846</v>
      </c>
      <c r="G12" s="209">
        <v>294</v>
      </c>
      <c r="H12" s="210">
        <f t="shared" si="1"/>
        <v>552</v>
      </c>
      <c r="I12" s="208">
        <v>74</v>
      </c>
      <c r="J12" s="208">
        <v>45</v>
      </c>
      <c r="K12" s="211">
        <v>188</v>
      </c>
    </row>
    <row r="13" spans="2:13" ht="30" customHeight="1" thickBot="1">
      <c r="B13" s="212" t="s">
        <v>165</v>
      </c>
      <c r="C13" s="213">
        <f aca="true" t="shared" si="2" ref="C13:K13">SUM(C5:C12)</f>
        <v>8404</v>
      </c>
      <c r="D13" s="213">
        <f t="shared" si="2"/>
        <v>7269</v>
      </c>
      <c r="E13" s="214">
        <f t="shared" si="2"/>
        <v>1135</v>
      </c>
      <c r="F13" s="215">
        <f t="shared" si="2"/>
        <v>5236</v>
      </c>
      <c r="G13" s="216">
        <f t="shared" si="2"/>
        <v>2316</v>
      </c>
      <c r="H13" s="217">
        <f t="shared" si="2"/>
        <v>2920</v>
      </c>
      <c r="I13" s="218">
        <f t="shared" si="2"/>
        <v>1120</v>
      </c>
      <c r="J13" s="218">
        <f t="shared" si="2"/>
        <v>319</v>
      </c>
      <c r="K13" s="219">
        <f t="shared" si="2"/>
        <v>758</v>
      </c>
      <c r="M13" s="220"/>
    </row>
    <row r="14" spans="2:11" ht="30" customHeight="1" thickBot="1">
      <c r="B14" s="221" t="s">
        <v>166</v>
      </c>
      <c r="C14" s="222">
        <v>7570</v>
      </c>
      <c r="D14" s="222">
        <v>6726</v>
      </c>
      <c r="E14" s="201">
        <v>844</v>
      </c>
      <c r="F14" s="223">
        <v>4597</v>
      </c>
      <c r="G14" s="222">
        <v>2487</v>
      </c>
      <c r="H14" s="224">
        <v>2110</v>
      </c>
      <c r="I14" s="225">
        <v>1084</v>
      </c>
      <c r="J14" s="203">
        <v>406</v>
      </c>
      <c r="K14" s="226">
        <v>883</v>
      </c>
    </row>
    <row r="15" spans="2:13" ht="30" customHeight="1" thickBot="1" thickTop="1">
      <c r="B15" s="227" t="s">
        <v>167</v>
      </c>
      <c r="C15" s="228">
        <f aca="true" t="shared" si="3" ref="C15:K15">C13/C14*100</f>
        <v>111.01717305151915</v>
      </c>
      <c r="D15" s="228">
        <f t="shared" si="3"/>
        <v>108.07314897413025</v>
      </c>
      <c r="E15" s="229">
        <f t="shared" si="3"/>
        <v>134.478672985782</v>
      </c>
      <c r="F15" s="230">
        <f t="shared" si="3"/>
        <v>113.90036980639549</v>
      </c>
      <c r="G15" s="228">
        <f t="shared" si="3"/>
        <v>93.124246079614</v>
      </c>
      <c r="H15" s="229">
        <f t="shared" si="3"/>
        <v>138.38862559241707</v>
      </c>
      <c r="I15" s="228">
        <f t="shared" si="3"/>
        <v>103.3210332103321</v>
      </c>
      <c r="J15" s="228">
        <f t="shared" si="3"/>
        <v>78.57142857142857</v>
      </c>
      <c r="K15" s="231">
        <f t="shared" si="3"/>
        <v>85.84371460928652</v>
      </c>
      <c r="M15" s="232"/>
    </row>
    <row r="16" spans="2:10" ht="24.75" customHeight="1" thickTop="1">
      <c r="B16" s="1"/>
      <c r="C16" s="89"/>
      <c r="D16" s="89"/>
      <c r="E16" s="89"/>
      <c r="F16" s="89"/>
      <c r="G16" s="89"/>
      <c r="H16" s="89"/>
      <c r="I16" s="89"/>
      <c r="J16" s="89"/>
    </row>
    <row r="17" spans="2:10" ht="24.75" customHeight="1">
      <c r="B17" s="1"/>
      <c r="C17" s="89"/>
      <c r="D17" s="89"/>
      <c r="E17" s="89"/>
      <c r="F17" s="89"/>
      <c r="G17" s="89"/>
      <c r="H17" s="89"/>
      <c r="I17" s="89"/>
      <c r="J17" s="89"/>
    </row>
    <row r="18" spans="2:10" ht="24.75" customHeight="1">
      <c r="B18" s="1"/>
      <c r="C18" s="89"/>
      <c r="D18" s="89"/>
      <c r="E18" s="89"/>
      <c r="F18" s="89"/>
      <c r="G18" s="89"/>
      <c r="H18" s="89"/>
      <c r="I18" s="89"/>
      <c r="J18" s="89"/>
    </row>
    <row r="19" spans="2:10" ht="24.75" customHeight="1">
      <c r="B19" s="233" t="s">
        <v>168</v>
      </c>
      <c r="G19" s="89"/>
      <c r="H19" s="89"/>
      <c r="I19" s="89"/>
      <c r="J19" s="89"/>
    </row>
    <row r="20" spans="2:10" ht="24.75" customHeight="1">
      <c r="B20" s="89"/>
      <c r="C20" s="89"/>
      <c r="D20" s="89"/>
      <c r="E20" s="89"/>
      <c r="F20" s="89"/>
      <c r="G20" s="89"/>
      <c r="H20" s="89"/>
      <c r="I20" s="89"/>
      <c r="J20" s="89"/>
    </row>
    <row r="21" spans="2:10" ht="24.75" customHeight="1" thickBot="1">
      <c r="B21" s="90" t="s">
        <v>169</v>
      </c>
      <c r="C21" s="89"/>
      <c r="D21" s="89"/>
      <c r="E21" s="89"/>
      <c r="F21" s="89"/>
      <c r="G21" s="89"/>
      <c r="H21" s="89"/>
      <c r="I21" s="89"/>
      <c r="J21" s="89"/>
    </row>
    <row r="22" spans="2:11" ht="30" customHeight="1" thickBot="1" thickTop="1">
      <c r="B22" s="183" t="s">
        <v>149</v>
      </c>
      <c r="C22" s="184" t="s">
        <v>150</v>
      </c>
      <c r="D22" s="185" t="s">
        <v>151</v>
      </c>
      <c r="E22" s="186"/>
      <c r="F22" s="184" t="s">
        <v>152</v>
      </c>
      <c r="G22" s="185" t="s">
        <v>170</v>
      </c>
      <c r="H22" s="186"/>
      <c r="I22" s="234" t="s">
        <v>154</v>
      </c>
      <c r="J22" s="188" t="s">
        <v>155</v>
      </c>
      <c r="K22" s="235" t="s">
        <v>156</v>
      </c>
    </row>
    <row r="23" spans="2:11" ht="30" customHeight="1" thickBot="1">
      <c r="B23" s="40" t="s">
        <v>157</v>
      </c>
      <c r="C23" s="190" t="s">
        <v>158</v>
      </c>
      <c r="D23" s="191" t="s">
        <v>159</v>
      </c>
      <c r="E23" s="236" t="s">
        <v>160</v>
      </c>
      <c r="F23" s="190" t="s">
        <v>158</v>
      </c>
      <c r="G23" s="193" t="s">
        <v>161</v>
      </c>
      <c r="H23" s="194" t="s">
        <v>162</v>
      </c>
      <c r="I23" s="195"/>
      <c r="J23" s="237" t="s">
        <v>163</v>
      </c>
      <c r="K23" s="238" t="s">
        <v>171</v>
      </c>
    </row>
    <row r="24" spans="2:11" ht="24.75" customHeight="1" thickTop="1">
      <c r="B24" s="198" t="s">
        <v>6</v>
      </c>
      <c r="C24" s="199">
        <v>784</v>
      </c>
      <c r="D24" s="199">
        <v>755</v>
      </c>
      <c r="E24" s="239">
        <f aca="true" t="shared" si="4" ref="E24:E31">C24-D24</f>
        <v>29</v>
      </c>
      <c r="F24" s="199">
        <v>464</v>
      </c>
      <c r="G24" s="199">
        <v>255</v>
      </c>
      <c r="H24" s="210">
        <f aca="true" t="shared" si="5" ref="H24:H31">F24-G24</f>
        <v>209</v>
      </c>
      <c r="I24" s="240">
        <v>275</v>
      </c>
      <c r="J24" s="199">
        <v>13</v>
      </c>
      <c r="K24" s="241">
        <v>29</v>
      </c>
    </row>
    <row r="25" spans="2:11" ht="24.75" customHeight="1">
      <c r="B25" s="105" t="s">
        <v>7</v>
      </c>
      <c r="C25" s="203">
        <v>143</v>
      </c>
      <c r="D25" s="203">
        <v>127</v>
      </c>
      <c r="E25" s="201">
        <f t="shared" si="4"/>
        <v>16</v>
      </c>
      <c r="F25" s="203">
        <v>99</v>
      </c>
      <c r="G25" s="203">
        <v>44</v>
      </c>
      <c r="H25" s="210">
        <f t="shared" si="5"/>
        <v>55</v>
      </c>
      <c r="I25" s="225">
        <v>19</v>
      </c>
      <c r="J25" s="203">
        <v>2</v>
      </c>
      <c r="K25" s="226">
        <v>22</v>
      </c>
    </row>
    <row r="26" spans="2:11" ht="24.75" customHeight="1">
      <c r="B26" s="105" t="s">
        <v>8</v>
      </c>
      <c r="C26" s="203">
        <v>224</v>
      </c>
      <c r="D26" s="203">
        <v>211</v>
      </c>
      <c r="E26" s="201">
        <f t="shared" si="4"/>
        <v>13</v>
      </c>
      <c r="F26" s="203">
        <v>76</v>
      </c>
      <c r="G26" s="203">
        <v>32</v>
      </c>
      <c r="H26" s="210">
        <f t="shared" si="5"/>
        <v>44</v>
      </c>
      <c r="I26" s="225">
        <v>7</v>
      </c>
      <c r="J26" s="203">
        <v>17</v>
      </c>
      <c r="K26" s="226">
        <v>153</v>
      </c>
    </row>
    <row r="27" spans="2:11" s="206" customFormat="1" ht="24.75" customHeight="1">
      <c r="B27" s="105" t="s">
        <v>9</v>
      </c>
      <c r="C27" s="203">
        <v>252</v>
      </c>
      <c r="D27" s="203">
        <v>235</v>
      </c>
      <c r="E27" s="201">
        <f t="shared" si="4"/>
        <v>17</v>
      </c>
      <c r="F27" s="203">
        <v>124</v>
      </c>
      <c r="G27" s="203">
        <v>47</v>
      </c>
      <c r="H27" s="210">
        <f t="shared" si="5"/>
        <v>77</v>
      </c>
      <c r="I27" s="225">
        <v>64</v>
      </c>
      <c r="J27" s="203">
        <v>24</v>
      </c>
      <c r="K27" s="226">
        <v>29</v>
      </c>
    </row>
    <row r="28" spans="2:11" ht="24.75" customHeight="1">
      <c r="B28" s="105" t="s">
        <v>10</v>
      </c>
      <c r="C28" s="203">
        <v>154</v>
      </c>
      <c r="D28" s="203">
        <v>149</v>
      </c>
      <c r="E28" s="201">
        <f t="shared" si="4"/>
        <v>5</v>
      </c>
      <c r="F28" s="203">
        <v>105</v>
      </c>
      <c r="G28" s="203">
        <v>55</v>
      </c>
      <c r="H28" s="210">
        <f t="shared" si="5"/>
        <v>50</v>
      </c>
      <c r="I28" s="225">
        <v>8</v>
      </c>
      <c r="J28" s="203">
        <v>11</v>
      </c>
      <c r="K28" s="226">
        <v>19</v>
      </c>
    </row>
    <row r="29" spans="2:11" ht="24.75" customHeight="1">
      <c r="B29" s="105" t="s">
        <v>11</v>
      </c>
      <c r="C29" s="203">
        <v>291</v>
      </c>
      <c r="D29" s="203">
        <v>265</v>
      </c>
      <c r="E29" s="201">
        <f t="shared" si="4"/>
        <v>26</v>
      </c>
      <c r="F29" s="203">
        <v>148</v>
      </c>
      <c r="G29" s="203">
        <v>90</v>
      </c>
      <c r="H29" s="210">
        <f t="shared" si="5"/>
        <v>58</v>
      </c>
      <c r="I29" s="225">
        <v>10</v>
      </c>
      <c r="J29" s="203">
        <v>6</v>
      </c>
      <c r="K29" s="226">
        <v>45</v>
      </c>
    </row>
    <row r="30" spans="2:11" ht="24.75" customHeight="1">
      <c r="B30" s="105" t="s">
        <v>12</v>
      </c>
      <c r="C30" s="203">
        <v>237</v>
      </c>
      <c r="D30" s="203">
        <v>219</v>
      </c>
      <c r="E30" s="201">
        <f t="shared" si="4"/>
        <v>18</v>
      </c>
      <c r="F30" s="203">
        <v>122</v>
      </c>
      <c r="G30" s="203">
        <v>40</v>
      </c>
      <c r="H30" s="210">
        <f t="shared" si="5"/>
        <v>82</v>
      </c>
      <c r="I30" s="225">
        <v>14</v>
      </c>
      <c r="J30" s="203">
        <v>44</v>
      </c>
      <c r="K30" s="226">
        <v>39</v>
      </c>
    </row>
    <row r="31" spans="2:11" ht="24.75" customHeight="1" thickBot="1">
      <c r="B31" s="242" t="s">
        <v>13</v>
      </c>
      <c r="C31" s="243">
        <v>268</v>
      </c>
      <c r="D31" s="243">
        <v>247</v>
      </c>
      <c r="E31" s="244">
        <f t="shared" si="4"/>
        <v>21</v>
      </c>
      <c r="F31" s="243">
        <v>122</v>
      </c>
      <c r="G31" s="243">
        <v>43</v>
      </c>
      <c r="H31" s="244">
        <f t="shared" si="5"/>
        <v>79</v>
      </c>
      <c r="I31" s="245">
        <v>14</v>
      </c>
      <c r="J31" s="243">
        <v>25</v>
      </c>
      <c r="K31" s="246">
        <v>77</v>
      </c>
    </row>
    <row r="32" spans="2:11" ht="30" customHeight="1" thickBot="1">
      <c r="B32" s="212" t="s">
        <v>165</v>
      </c>
      <c r="C32" s="218">
        <f aca="true" t="shared" si="6" ref="C32:K32">SUM(C24:C31)</f>
        <v>2353</v>
      </c>
      <c r="D32" s="218">
        <f t="shared" si="6"/>
        <v>2208</v>
      </c>
      <c r="E32" s="247">
        <f t="shared" si="6"/>
        <v>145</v>
      </c>
      <c r="F32" s="218">
        <f t="shared" si="6"/>
        <v>1260</v>
      </c>
      <c r="G32" s="218">
        <f t="shared" si="6"/>
        <v>606</v>
      </c>
      <c r="H32" s="247">
        <f t="shared" si="6"/>
        <v>654</v>
      </c>
      <c r="I32" s="218">
        <f t="shared" si="6"/>
        <v>411</v>
      </c>
      <c r="J32" s="218">
        <f t="shared" si="6"/>
        <v>142</v>
      </c>
      <c r="K32" s="219">
        <f t="shared" si="6"/>
        <v>413</v>
      </c>
    </row>
    <row r="33" spans="2:11" ht="30" customHeight="1" thickBot="1">
      <c r="B33" s="221" t="s">
        <v>166</v>
      </c>
      <c r="C33" s="203">
        <v>1419</v>
      </c>
      <c r="D33" s="203">
        <v>1358</v>
      </c>
      <c r="E33" s="201">
        <v>61</v>
      </c>
      <c r="F33" s="203">
        <v>646</v>
      </c>
      <c r="G33" s="203">
        <v>287</v>
      </c>
      <c r="H33" s="201">
        <v>359</v>
      </c>
      <c r="I33" s="225">
        <v>357</v>
      </c>
      <c r="J33" s="203">
        <v>82</v>
      </c>
      <c r="K33" s="226">
        <v>208</v>
      </c>
    </row>
    <row r="34" spans="2:11" ht="30" customHeight="1" thickBot="1" thickTop="1">
      <c r="B34" s="227" t="s">
        <v>167</v>
      </c>
      <c r="C34" s="228">
        <f aca="true" t="shared" si="7" ref="C34:K34">C32/C33*100</f>
        <v>165.82100070472163</v>
      </c>
      <c r="D34" s="228">
        <f t="shared" si="7"/>
        <v>162.5920471281296</v>
      </c>
      <c r="E34" s="229">
        <f t="shared" si="7"/>
        <v>237.7049180327869</v>
      </c>
      <c r="F34" s="228">
        <f t="shared" si="7"/>
        <v>195.04643962848297</v>
      </c>
      <c r="G34" s="228">
        <f t="shared" si="7"/>
        <v>211.14982578397212</v>
      </c>
      <c r="H34" s="229">
        <f t="shared" si="7"/>
        <v>182.17270194986074</v>
      </c>
      <c r="I34" s="228">
        <f t="shared" si="7"/>
        <v>115.12605042016806</v>
      </c>
      <c r="J34" s="228">
        <f t="shared" si="7"/>
        <v>173.17073170731706</v>
      </c>
      <c r="K34" s="231">
        <f t="shared" si="7"/>
        <v>198.55769230769232</v>
      </c>
    </row>
    <row r="35" ht="13.5" thickTop="1"/>
  </sheetData>
  <printOptions horizontalCentered="1"/>
  <pageMargins left="0.3937007874015748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M46"/>
  <sheetViews>
    <sheetView zoomScale="80" zoomScaleNormal="80" workbookViewId="0" topLeftCell="A1">
      <selection activeCell="K18" sqref="K18"/>
    </sheetView>
  </sheetViews>
  <sheetFormatPr defaultColWidth="9.140625" defaultRowHeight="12.75"/>
  <cols>
    <col min="1" max="1" width="1.421875" style="0" customWidth="1"/>
    <col min="2" max="2" width="39.421875" style="0" customWidth="1"/>
    <col min="3" max="3" width="7.8515625" style="0" customWidth="1"/>
    <col min="4" max="4" width="9.28125" style="0" customWidth="1"/>
    <col min="6" max="6" width="9.57421875" style="0" bestFit="1" customWidth="1"/>
    <col min="8" max="10" width="9.57421875" style="0" bestFit="1" customWidth="1"/>
    <col min="12" max="12" width="10.7109375" style="0" customWidth="1"/>
    <col min="13" max="13" width="11.421875" style="0" bestFit="1" customWidth="1"/>
  </cols>
  <sheetData>
    <row r="2" ht="15">
      <c r="B2" s="89"/>
    </row>
    <row r="3" ht="15">
      <c r="B3" s="89" t="s">
        <v>172</v>
      </c>
    </row>
    <row r="4" spans="2:13" ht="23.25">
      <c r="B4" s="391" t="s">
        <v>173</v>
      </c>
      <c r="C4" s="392"/>
      <c r="D4" s="392"/>
      <c r="E4" s="392"/>
      <c r="F4" s="392"/>
      <c r="G4" s="392"/>
      <c r="H4" s="392"/>
      <c r="I4" s="393"/>
      <c r="J4" s="393"/>
      <c r="K4" s="394"/>
      <c r="L4" s="394"/>
      <c r="M4" s="394"/>
    </row>
    <row r="5" ht="15">
      <c r="B5" s="89"/>
    </row>
    <row r="6" ht="21.75" customHeight="1" thickBot="1">
      <c r="B6" s="90" t="s">
        <v>174</v>
      </c>
    </row>
    <row r="7" spans="2:13" ht="25.5" customHeight="1" thickBot="1">
      <c r="B7" s="248" t="s">
        <v>21</v>
      </c>
      <c r="C7" s="362" t="s">
        <v>175</v>
      </c>
      <c r="D7" s="366"/>
      <c r="E7" s="395" t="s">
        <v>176</v>
      </c>
      <c r="F7" s="366"/>
      <c r="G7" s="395" t="s">
        <v>177</v>
      </c>
      <c r="H7" s="366"/>
      <c r="I7" s="395" t="s">
        <v>178</v>
      </c>
      <c r="J7" s="366"/>
      <c r="K7" s="388" t="s">
        <v>179</v>
      </c>
      <c r="L7" s="389"/>
      <c r="M7" s="390"/>
    </row>
    <row r="8" spans="2:13" ht="42.75" customHeight="1" thickBot="1">
      <c r="B8" s="249" t="s">
        <v>180</v>
      </c>
      <c r="C8" s="250" t="s">
        <v>181</v>
      </c>
      <c r="D8" s="250" t="s">
        <v>182</v>
      </c>
      <c r="E8" s="250" t="s">
        <v>181</v>
      </c>
      <c r="F8" s="250" t="s">
        <v>182</v>
      </c>
      <c r="G8" s="250" t="s">
        <v>181</v>
      </c>
      <c r="H8" s="250" t="s">
        <v>182</v>
      </c>
      <c r="I8" s="250" t="s">
        <v>181</v>
      </c>
      <c r="J8" s="250" t="s">
        <v>182</v>
      </c>
      <c r="K8" s="250" t="s">
        <v>181</v>
      </c>
      <c r="L8" s="250" t="s">
        <v>182</v>
      </c>
      <c r="M8" s="250" t="s">
        <v>183</v>
      </c>
    </row>
    <row r="9" spans="2:13" ht="21.75" customHeight="1">
      <c r="B9" s="251" t="s">
        <v>184</v>
      </c>
      <c r="C9" s="252">
        <v>2939</v>
      </c>
      <c r="D9" s="253">
        <v>23610</v>
      </c>
      <c r="E9" s="252">
        <v>2819</v>
      </c>
      <c r="F9" s="253">
        <v>21687</v>
      </c>
      <c r="G9" s="252">
        <v>2504</v>
      </c>
      <c r="H9" s="253">
        <v>24790</v>
      </c>
      <c r="I9" s="252">
        <v>2421</v>
      </c>
      <c r="J9" s="253">
        <v>23595</v>
      </c>
      <c r="K9" s="252">
        <v>2948</v>
      </c>
      <c r="L9" s="253">
        <f>1046595*30.126/1000</f>
        <v>31529.720970000002</v>
      </c>
      <c r="M9" s="254">
        <v>1047</v>
      </c>
    </row>
    <row r="10" spans="2:13" ht="21.75" customHeight="1">
      <c r="B10" s="251" t="s">
        <v>185</v>
      </c>
      <c r="C10" s="252">
        <v>24</v>
      </c>
      <c r="D10" s="253">
        <v>1070</v>
      </c>
      <c r="E10" s="252">
        <v>23</v>
      </c>
      <c r="F10" s="253">
        <v>975</v>
      </c>
      <c r="G10" s="252">
        <v>52</v>
      </c>
      <c r="H10" s="253">
        <v>1717</v>
      </c>
      <c r="I10" s="252">
        <v>42</v>
      </c>
      <c r="J10" s="253">
        <v>1360</v>
      </c>
      <c r="K10" s="252">
        <v>26</v>
      </c>
      <c r="L10" s="253">
        <f>23130*30.126/1000</f>
        <v>696.81438</v>
      </c>
      <c r="M10" s="254">
        <v>23</v>
      </c>
    </row>
    <row r="11" spans="2:13" ht="21.75" customHeight="1" thickBot="1">
      <c r="B11" s="251" t="s">
        <v>186</v>
      </c>
      <c r="C11" s="255">
        <v>2503</v>
      </c>
      <c r="D11" s="256">
        <v>96123</v>
      </c>
      <c r="E11" s="255">
        <v>2590</v>
      </c>
      <c r="F11" s="256">
        <v>47060</v>
      </c>
      <c r="G11" s="255">
        <v>2744</v>
      </c>
      <c r="H11" s="256">
        <v>69474</v>
      </c>
      <c r="I11" s="255">
        <v>2707</v>
      </c>
      <c r="J11" s="256">
        <v>58684</v>
      </c>
      <c r="K11" s="255">
        <v>3209</v>
      </c>
      <c r="L11" s="256">
        <f>2069.071*30.126</f>
        <v>62332.832946</v>
      </c>
      <c r="M11" s="257">
        <v>2069</v>
      </c>
    </row>
    <row r="12" spans="2:13" ht="21.75" customHeight="1" thickBot="1">
      <c r="B12" s="258" t="s">
        <v>187</v>
      </c>
      <c r="C12" s="256">
        <f aca="true" t="shared" si="0" ref="C12:M12">SUM(C9:C11)</f>
        <v>5466</v>
      </c>
      <c r="D12" s="256">
        <f t="shared" si="0"/>
        <v>120803</v>
      </c>
      <c r="E12" s="255">
        <f t="shared" si="0"/>
        <v>5432</v>
      </c>
      <c r="F12" s="256">
        <f t="shared" si="0"/>
        <v>69722</v>
      </c>
      <c r="G12" s="255">
        <f t="shared" si="0"/>
        <v>5300</v>
      </c>
      <c r="H12" s="256">
        <f t="shared" si="0"/>
        <v>95981</v>
      </c>
      <c r="I12" s="255">
        <f t="shared" si="0"/>
        <v>5170</v>
      </c>
      <c r="J12" s="256">
        <f t="shared" si="0"/>
        <v>83639</v>
      </c>
      <c r="K12" s="256">
        <f t="shared" si="0"/>
        <v>6183</v>
      </c>
      <c r="L12" s="256">
        <f t="shared" si="0"/>
        <v>94559.368296</v>
      </c>
      <c r="M12" s="259">
        <f t="shared" si="0"/>
        <v>3139</v>
      </c>
    </row>
    <row r="13" spans="2:13" ht="21.75" customHeight="1">
      <c r="B13" s="260" t="s">
        <v>188</v>
      </c>
      <c r="C13" s="261"/>
      <c r="D13" s="262"/>
      <c r="E13" s="261"/>
      <c r="F13" s="262"/>
      <c r="G13" s="261"/>
      <c r="H13" s="262"/>
      <c r="I13" s="261"/>
      <c r="J13" s="262"/>
      <c r="K13" s="261"/>
      <c r="L13" s="262"/>
      <c r="M13" s="263"/>
    </row>
    <row r="14" spans="2:13" ht="21.75" customHeight="1">
      <c r="B14" s="251" t="s">
        <v>189</v>
      </c>
      <c r="C14" s="264">
        <v>11</v>
      </c>
      <c r="D14" s="265"/>
      <c r="E14" s="264">
        <v>4</v>
      </c>
      <c r="F14" s="265"/>
      <c r="G14" s="264">
        <v>8</v>
      </c>
      <c r="H14" s="265"/>
      <c r="I14" s="264">
        <v>9</v>
      </c>
      <c r="J14" s="265"/>
      <c r="K14" s="264">
        <v>8</v>
      </c>
      <c r="L14" s="265"/>
      <c r="M14" s="266"/>
    </row>
    <row r="15" spans="2:13" ht="21.75" customHeight="1">
      <c r="B15" s="251" t="s">
        <v>190</v>
      </c>
      <c r="C15" s="267" t="s">
        <v>138</v>
      </c>
      <c r="D15" s="268"/>
      <c r="E15" s="267" t="s">
        <v>138</v>
      </c>
      <c r="F15" s="268"/>
      <c r="G15" s="267">
        <v>1</v>
      </c>
      <c r="H15" s="268"/>
      <c r="I15" s="267" t="s">
        <v>115</v>
      </c>
      <c r="J15" s="268"/>
      <c r="K15" s="267" t="s">
        <v>138</v>
      </c>
      <c r="L15" s="268"/>
      <c r="M15" s="254"/>
    </row>
    <row r="16" spans="2:13" ht="21.75" customHeight="1">
      <c r="B16" s="251" t="s">
        <v>191</v>
      </c>
      <c r="C16" s="267" t="s">
        <v>192</v>
      </c>
      <c r="D16" s="268"/>
      <c r="E16" s="267">
        <v>17</v>
      </c>
      <c r="F16" s="268"/>
      <c r="G16" s="267">
        <v>91</v>
      </c>
      <c r="H16" s="268"/>
      <c r="I16" s="267">
        <v>15</v>
      </c>
      <c r="J16" s="268"/>
      <c r="K16" s="267" t="s">
        <v>138</v>
      </c>
      <c r="L16" s="268"/>
      <c r="M16" s="254"/>
    </row>
    <row r="17" spans="2:13" ht="21.75" customHeight="1" thickBot="1">
      <c r="B17" s="251" t="s">
        <v>193</v>
      </c>
      <c r="C17" s="269" t="s">
        <v>194</v>
      </c>
      <c r="D17" s="270"/>
      <c r="E17" s="269" t="s">
        <v>195</v>
      </c>
      <c r="F17" s="270"/>
      <c r="G17" s="269" t="s">
        <v>195</v>
      </c>
      <c r="H17" s="270"/>
      <c r="I17" s="269" t="s">
        <v>195</v>
      </c>
      <c r="J17" s="270"/>
      <c r="K17" s="269" t="s">
        <v>195</v>
      </c>
      <c r="L17" s="270"/>
      <c r="M17" s="257"/>
    </row>
    <row r="18" spans="2:13" ht="21.75" customHeight="1">
      <c r="B18" s="271" t="s">
        <v>196</v>
      </c>
      <c r="C18" s="272"/>
      <c r="D18" s="262"/>
      <c r="E18" s="272"/>
      <c r="F18" s="262"/>
      <c r="G18" s="272"/>
      <c r="H18" s="262"/>
      <c r="I18" s="272"/>
      <c r="J18" s="262"/>
      <c r="K18" s="272"/>
      <c r="L18" s="262"/>
      <c r="M18" s="273"/>
    </row>
    <row r="19" spans="2:13" ht="21.75" customHeight="1">
      <c r="B19" s="251" t="s">
        <v>197</v>
      </c>
      <c r="C19" s="274">
        <v>398</v>
      </c>
      <c r="D19" s="265"/>
      <c r="E19" s="274">
        <v>319</v>
      </c>
      <c r="F19" s="265"/>
      <c r="G19" s="274">
        <v>332</v>
      </c>
      <c r="H19" s="265"/>
      <c r="I19" s="274">
        <v>144</v>
      </c>
      <c r="J19" s="265"/>
      <c r="K19" s="274">
        <v>96</v>
      </c>
      <c r="L19" s="265"/>
      <c r="M19" s="266"/>
    </row>
    <row r="20" spans="2:13" ht="21.75" customHeight="1" thickBot="1">
      <c r="B20" s="251" t="s">
        <v>198</v>
      </c>
      <c r="C20" s="275">
        <v>4311</v>
      </c>
      <c r="D20" s="276">
        <v>261830</v>
      </c>
      <c r="E20" s="275">
        <v>5017</v>
      </c>
      <c r="F20" s="276">
        <v>240726</v>
      </c>
      <c r="G20" s="275">
        <v>4339</v>
      </c>
      <c r="H20" s="276">
        <v>233321</v>
      </c>
      <c r="I20" s="275">
        <v>2587</v>
      </c>
      <c r="J20" s="276">
        <v>249137</v>
      </c>
      <c r="K20" s="275">
        <v>2518</v>
      </c>
      <c r="L20" s="276">
        <f>3603.798*30.126</f>
        <v>108568.018548</v>
      </c>
      <c r="M20" s="277">
        <v>3604</v>
      </c>
    </row>
    <row r="21" spans="2:13" ht="21.75" customHeight="1" thickBot="1" thickTop="1">
      <c r="B21" s="278" t="s">
        <v>199</v>
      </c>
      <c r="C21" s="279">
        <f>SUM(C12:C20)</f>
        <v>10186</v>
      </c>
      <c r="D21" s="256"/>
      <c r="E21" s="279">
        <f>SUM(E12:E20)</f>
        <v>10789</v>
      </c>
      <c r="F21" s="270"/>
      <c r="G21" s="279">
        <f>SUM(G12:G20)</f>
        <v>10071</v>
      </c>
      <c r="H21" s="270"/>
      <c r="I21" s="279">
        <f>SUM(I12:I20)</f>
        <v>7925</v>
      </c>
      <c r="J21" s="270"/>
      <c r="K21" s="279">
        <f>SUM(K12:K20)</f>
        <v>8805</v>
      </c>
      <c r="L21" s="270"/>
      <c r="M21" s="280"/>
    </row>
    <row r="22" spans="2:10" ht="14.25">
      <c r="B22" s="13"/>
      <c r="I22" s="206"/>
      <c r="J22" s="206"/>
    </row>
    <row r="23" ht="14.25">
      <c r="B23" s="13"/>
    </row>
    <row r="24" ht="14.25">
      <c r="B24" s="13"/>
    </row>
    <row r="25" ht="14.25">
      <c r="B25" s="13"/>
    </row>
    <row r="26" ht="14.25">
      <c r="B26" s="13"/>
    </row>
    <row r="27" ht="14.25">
      <c r="B27" s="13"/>
    </row>
    <row r="28" ht="14.25">
      <c r="B28" s="13"/>
    </row>
    <row r="29" ht="14.25">
      <c r="B29" s="13"/>
    </row>
    <row r="30" ht="14.25">
      <c r="B30" s="13"/>
    </row>
    <row r="31" ht="14.25">
      <c r="B31" s="13"/>
    </row>
    <row r="32" ht="14.25">
      <c r="B32" s="13"/>
    </row>
    <row r="33" ht="14.25">
      <c r="B33" s="13"/>
    </row>
    <row r="34" ht="14.25">
      <c r="B34" s="13"/>
    </row>
    <row r="35" ht="14.25">
      <c r="B35" s="13"/>
    </row>
    <row r="36" ht="14.25">
      <c r="B36" s="13"/>
    </row>
    <row r="37" ht="14.25">
      <c r="B37" s="13"/>
    </row>
    <row r="38" ht="14.25">
      <c r="B38" s="13"/>
    </row>
    <row r="39" ht="14.25">
      <c r="B39" s="281"/>
    </row>
    <row r="40" ht="14.25">
      <c r="B40" s="281"/>
    </row>
    <row r="41" ht="14.25">
      <c r="B41" s="281"/>
    </row>
    <row r="42" ht="14.25">
      <c r="B42" s="281"/>
    </row>
    <row r="43" ht="14.25">
      <c r="B43" s="281"/>
    </row>
    <row r="44" ht="14.25">
      <c r="B44" s="281"/>
    </row>
    <row r="45" ht="14.25">
      <c r="B45" s="281"/>
    </row>
    <row r="46" ht="14.25">
      <c r="B46" s="281"/>
    </row>
  </sheetData>
  <mergeCells count="6">
    <mergeCell ref="K7:M7"/>
    <mergeCell ref="B4:M4"/>
    <mergeCell ref="I7:J7"/>
    <mergeCell ref="G7:H7"/>
    <mergeCell ref="E7:F7"/>
    <mergeCell ref="C7:D7"/>
  </mergeCells>
  <printOptions horizontalCentered="1"/>
  <pageMargins left="0.5905511811023623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49"/>
  <sheetViews>
    <sheetView zoomScale="75" zoomScaleNormal="75" workbookViewId="0" topLeftCell="A1">
      <selection activeCell="J5" sqref="J5"/>
    </sheetView>
  </sheetViews>
  <sheetFormatPr defaultColWidth="9.140625" defaultRowHeight="12.75"/>
  <cols>
    <col min="2" max="2" width="29.00390625" style="0" customWidth="1"/>
    <col min="3" max="3" width="13.140625" style="0" customWidth="1"/>
    <col min="4" max="4" width="10.57421875" style="0" customWidth="1"/>
    <col min="5" max="5" width="10.421875" style="0" customWidth="1"/>
    <col min="6" max="6" width="9.57421875" style="0" customWidth="1"/>
    <col min="7" max="7" width="11.421875" style="0" customWidth="1"/>
  </cols>
  <sheetData>
    <row r="1" spans="2:10" ht="15">
      <c r="B1" s="89"/>
      <c r="C1" s="89"/>
      <c r="D1" s="89"/>
      <c r="E1" s="89"/>
      <c r="F1" s="89"/>
      <c r="G1" s="89"/>
      <c r="H1" s="89"/>
      <c r="I1" s="89"/>
      <c r="J1" s="89"/>
    </row>
    <row r="2" spans="2:10" ht="15">
      <c r="B2" s="89"/>
      <c r="C2" s="89"/>
      <c r="D2" s="89"/>
      <c r="E2" s="89"/>
      <c r="F2" s="89"/>
      <c r="G2" s="89"/>
      <c r="H2" s="89"/>
      <c r="I2" s="89"/>
      <c r="J2" s="89"/>
    </row>
    <row r="3" spans="2:10" ht="20.25">
      <c r="B3" s="396" t="s">
        <v>200</v>
      </c>
      <c r="C3" s="355"/>
      <c r="D3" s="355"/>
      <c r="E3" s="355"/>
      <c r="F3" s="355"/>
      <c r="G3" s="355"/>
      <c r="H3" s="89"/>
      <c r="I3" s="89"/>
      <c r="J3" s="89"/>
    </row>
    <row r="4" spans="2:10" ht="15">
      <c r="B4" s="89"/>
      <c r="C4" s="89"/>
      <c r="D4" s="89"/>
      <c r="E4" s="89"/>
      <c r="F4" s="89"/>
      <c r="G4" s="89"/>
      <c r="H4" s="89"/>
      <c r="I4" s="89"/>
      <c r="J4" s="89"/>
    </row>
    <row r="5" spans="2:10" ht="15.75" thickBot="1">
      <c r="B5" s="90" t="s">
        <v>201</v>
      </c>
      <c r="C5" s="89"/>
      <c r="D5" s="89"/>
      <c r="E5" s="89"/>
      <c r="F5" s="89"/>
      <c r="G5" s="89"/>
      <c r="H5" s="89"/>
      <c r="I5" s="89"/>
      <c r="J5" s="89"/>
    </row>
    <row r="6" spans="2:10" ht="26.25" customHeight="1" thickBot="1" thickTop="1">
      <c r="B6" s="282" t="s">
        <v>202</v>
      </c>
      <c r="C6" s="282" t="s">
        <v>32</v>
      </c>
      <c r="D6" s="283" t="s">
        <v>203</v>
      </c>
      <c r="E6" s="284" t="s">
        <v>204</v>
      </c>
      <c r="F6" s="285"/>
      <c r="G6" s="286"/>
      <c r="H6" s="89"/>
      <c r="I6" s="89"/>
      <c r="J6" s="89"/>
    </row>
    <row r="7" spans="2:10" ht="31.5" thickBot="1" thickTop="1">
      <c r="B7" s="287" t="s">
        <v>157</v>
      </c>
      <c r="C7" s="288" t="s">
        <v>205</v>
      </c>
      <c r="D7" s="289" t="s">
        <v>107</v>
      </c>
      <c r="E7" s="290" t="s">
        <v>206</v>
      </c>
      <c r="F7" s="291" t="s">
        <v>207</v>
      </c>
      <c r="G7" s="292" t="s">
        <v>208</v>
      </c>
      <c r="H7" s="89"/>
      <c r="I7" s="89"/>
      <c r="J7" s="89"/>
    </row>
    <row r="8" spans="2:10" ht="30" customHeight="1" thickTop="1">
      <c r="B8" s="198" t="s">
        <v>6</v>
      </c>
      <c r="C8" s="209">
        <f aca="true" t="shared" si="0" ref="C8:C16">E8+F8+G8</f>
        <v>63</v>
      </c>
      <c r="D8" s="293">
        <f>C8/C17*100</f>
        <v>8.213820078226858</v>
      </c>
      <c r="E8" s="199">
        <v>34</v>
      </c>
      <c r="F8" s="199">
        <v>3</v>
      </c>
      <c r="G8" s="202">
        <v>26</v>
      </c>
      <c r="H8" s="89"/>
      <c r="I8" s="89"/>
      <c r="J8" s="89"/>
    </row>
    <row r="9" spans="2:10" ht="30" customHeight="1">
      <c r="B9" s="105" t="s">
        <v>7</v>
      </c>
      <c r="C9" s="209">
        <f t="shared" si="0"/>
        <v>7</v>
      </c>
      <c r="D9" s="294">
        <f>C9/C17*100</f>
        <v>0.9126466753585397</v>
      </c>
      <c r="E9" s="203">
        <v>3</v>
      </c>
      <c r="F9" s="203">
        <v>0</v>
      </c>
      <c r="G9" s="205">
        <v>4</v>
      </c>
      <c r="H9" s="89"/>
      <c r="I9" s="89"/>
      <c r="J9" s="89"/>
    </row>
    <row r="10" spans="2:10" ht="30" customHeight="1">
      <c r="B10" s="105" t="s">
        <v>8</v>
      </c>
      <c r="C10" s="209">
        <f t="shared" si="0"/>
        <v>4</v>
      </c>
      <c r="D10" s="294">
        <f>C10/C17*100</f>
        <v>0.5215123859191656</v>
      </c>
      <c r="E10" s="203">
        <v>4</v>
      </c>
      <c r="F10" s="203">
        <v>0</v>
      </c>
      <c r="G10" s="205">
        <v>0</v>
      </c>
      <c r="H10" s="89"/>
      <c r="I10" s="89"/>
      <c r="J10" s="89"/>
    </row>
    <row r="11" spans="2:10" ht="30" customHeight="1">
      <c r="B11" s="105" t="s">
        <v>9</v>
      </c>
      <c r="C11" s="209">
        <f t="shared" si="0"/>
        <v>18</v>
      </c>
      <c r="D11" s="294">
        <f>C11/C17*100</f>
        <v>2.346805736636245</v>
      </c>
      <c r="E11" s="203">
        <v>10</v>
      </c>
      <c r="F11" s="203">
        <v>0</v>
      </c>
      <c r="G11" s="205">
        <v>8</v>
      </c>
      <c r="H11" s="89"/>
      <c r="I11" s="89"/>
      <c r="J11" s="89"/>
    </row>
    <row r="12" spans="2:10" ht="30" customHeight="1">
      <c r="B12" s="105" t="s">
        <v>10</v>
      </c>
      <c r="C12" s="209">
        <f t="shared" si="0"/>
        <v>15</v>
      </c>
      <c r="D12" s="294">
        <f>C12/C17*100</f>
        <v>1.955671447196871</v>
      </c>
      <c r="E12" s="203">
        <v>2</v>
      </c>
      <c r="F12" s="203">
        <v>12</v>
      </c>
      <c r="G12" s="205">
        <v>1</v>
      </c>
      <c r="H12" s="89"/>
      <c r="I12" s="89"/>
      <c r="J12" s="89"/>
    </row>
    <row r="13" spans="2:10" ht="30" customHeight="1">
      <c r="B13" s="105" t="s">
        <v>11</v>
      </c>
      <c r="C13" s="209">
        <f t="shared" si="0"/>
        <v>36</v>
      </c>
      <c r="D13" s="294">
        <f>C13/C17*100</f>
        <v>4.69361147327249</v>
      </c>
      <c r="E13" s="203">
        <v>6</v>
      </c>
      <c r="F13" s="203">
        <v>18</v>
      </c>
      <c r="G13" s="205">
        <v>12</v>
      </c>
      <c r="H13" s="89"/>
      <c r="I13" s="89"/>
      <c r="J13" s="89"/>
    </row>
    <row r="14" spans="2:10" ht="30" customHeight="1">
      <c r="B14" s="105" t="s">
        <v>12</v>
      </c>
      <c r="C14" s="209">
        <f t="shared" si="0"/>
        <v>10</v>
      </c>
      <c r="D14" s="294">
        <f>C14/C17*100</f>
        <v>1.303780964797914</v>
      </c>
      <c r="E14" s="203">
        <v>2</v>
      </c>
      <c r="F14" s="203">
        <v>1</v>
      </c>
      <c r="G14" s="205">
        <v>7</v>
      </c>
      <c r="H14" s="89"/>
      <c r="I14" s="89"/>
      <c r="J14" s="89"/>
    </row>
    <row r="15" spans="2:10" ht="30" customHeight="1">
      <c r="B15" s="105" t="s">
        <v>13</v>
      </c>
      <c r="C15" s="209">
        <f t="shared" si="0"/>
        <v>39</v>
      </c>
      <c r="D15" s="294">
        <f>C15/C17*100</f>
        <v>5.084745762711865</v>
      </c>
      <c r="E15" s="203">
        <v>16</v>
      </c>
      <c r="F15" s="203">
        <v>12</v>
      </c>
      <c r="G15" s="205">
        <v>11</v>
      </c>
      <c r="H15" s="89"/>
      <c r="I15" s="89"/>
      <c r="J15" s="89"/>
    </row>
    <row r="16" spans="2:10" ht="30" customHeight="1" thickBot="1">
      <c r="B16" s="105" t="s">
        <v>209</v>
      </c>
      <c r="C16" s="209">
        <f t="shared" si="0"/>
        <v>575</v>
      </c>
      <c r="D16" s="294">
        <f>C16/C17*100</f>
        <v>74.96740547588006</v>
      </c>
      <c r="E16" s="203">
        <v>136</v>
      </c>
      <c r="F16" s="203">
        <v>52</v>
      </c>
      <c r="G16" s="205">
        <v>387</v>
      </c>
      <c r="H16" s="89"/>
      <c r="I16" s="89"/>
      <c r="J16" s="89"/>
    </row>
    <row r="17" spans="2:10" ht="30" customHeight="1" thickBot="1" thickTop="1">
      <c r="B17" s="130" t="s">
        <v>165</v>
      </c>
      <c r="C17" s="131">
        <f>SUM(C8:C16)</f>
        <v>767</v>
      </c>
      <c r="D17" s="295">
        <f>SUM(D8:D16)</f>
        <v>100</v>
      </c>
      <c r="E17" s="131">
        <f>SUM(E8:E16)</f>
        <v>213</v>
      </c>
      <c r="F17" s="296">
        <f>SUM(F8:F16)</f>
        <v>98</v>
      </c>
      <c r="G17" s="297">
        <f>SUM(G8:G16)</f>
        <v>456</v>
      </c>
      <c r="H17" s="89"/>
      <c r="I17" s="89"/>
      <c r="J17" s="89"/>
    </row>
    <row r="18" spans="2:10" ht="21" customHeight="1" thickTop="1">
      <c r="B18" s="298"/>
      <c r="C18" s="299"/>
      <c r="D18" s="300"/>
      <c r="E18" s="299"/>
      <c r="F18" s="300"/>
      <c r="G18" s="300"/>
      <c r="H18" s="89"/>
      <c r="I18" s="89"/>
      <c r="J18" s="89"/>
    </row>
    <row r="19" spans="2:10" ht="15">
      <c r="B19" s="301"/>
      <c r="C19" s="301"/>
      <c r="D19" s="301"/>
      <c r="E19" s="301"/>
      <c r="F19" s="301"/>
      <c r="G19" s="301"/>
      <c r="H19" s="89"/>
      <c r="I19" s="89"/>
      <c r="J19" s="89"/>
    </row>
    <row r="20" spans="2:10" ht="15">
      <c r="B20" s="89"/>
      <c r="C20" s="89"/>
      <c r="D20" s="89"/>
      <c r="E20" s="89"/>
      <c r="F20" s="89"/>
      <c r="G20" s="89"/>
      <c r="H20" s="89"/>
      <c r="I20" s="89"/>
      <c r="J20" s="89"/>
    </row>
    <row r="21" spans="2:10" ht="15">
      <c r="B21" s="89"/>
      <c r="C21" s="89"/>
      <c r="D21" s="89"/>
      <c r="E21" s="89"/>
      <c r="F21" s="89"/>
      <c r="G21" s="89"/>
      <c r="H21" s="89"/>
      <c r="I21" s="89"/>
      <c r="J21" s="89"/>
    </row>
    <row r="22" spans="2:10" ht="15">
      <c r="B22" s="89"/>
      <c r="C22" s="89"/>
      <c r="D22" s="89"/>
      <c r="E22" s="89"/>
      <c r="F22" s="89"/>
      <c r="G22" s="89"/>
      <c r="H22" s="89"/>
      <c r="I22" s="89"/>
      <c r="J22" s="89"/>
    </row>
    <row r="23" spans="2:10" ht="15">
      <c r="B23" s="89"/>
      <c r="C23" s="89"/>
      <c r="D23" s="89"/>
      <c r="E23" s="89"/>
      <c r="F23" s="89"/>
      <c r="G23" s="89"/>
      <c r="H23" s="89"/>
      <c r="I23" s="89"/>
      <c r="J23" s="89"/>
    </row>
    <row r="24" spans="2:10" ht="15">
      <c r="B24" s="89"/>
      <c r="C24" s="89"/>
      <c r="D24" s="89"/>
      <c r="E24" s="89"/>
      <c r="F24" s="89"/>
      <c r="G24" s="89"/>
      <c r="H24" s="89"/>
      <c r="I24" s="89"/>
      <c r="J24" s="89"/>
    </row>
    <row r="25" spans="2:10" ht="15">
      <c r="B25" s="89"/>
      <c r="C25" s="89"/>
      <c r="D25" s="89"/>
      <c r="E25" s="89"/>
      <c r="F25" s="89"/>
      <c r="G25" s="89"/>
      <c r="H25" s="89"/>
      <c r="I25" s="89"/>
      <c r="J25" s="89"/>
    </row>
    <row r="26" spans="2:10" ht="15">
      <c r="B26" s="89"/>
      <c r="C26" s="89"/>
      <c r="D26" s="89"/>
      <c r="E26" s="89"/>
      <c r="F26" s="89"/>
      <c r="G26" s="89"/>
      <c r="H26" s="89"/>
      <c r="I26" s="89"/>
      <c r="J26" s="89"/>
    </row>
    <row r="27" spans="2:10" ht="15">
      <c r="B27" s="89"/>
      <c r="C27" s="89"/>
      <c r="D27" s="89"/>
      <c r="E27" s="89"/>
      <c r="F27" s="89"/>
      <c r="G27" s="89"/>
      <c r="H27" s="89"/>
      <c r="I27" s="89"/>
      <c r="J27" s="89"/>
    </row>
    <row r="28" spans="2:10" ht="15">
      <c r="B28" s="89"/>
      <c r="C28" s="89"/>
      <c r="D28" s="89"/>
      <c r="E28" s="89"/>
      <c r="F28" s="89"/>
      <c r="G28" s="89"/>
      <c r="H28" s="89"/>
      <c r="I28" s="89"/>
      <c r="J28" s="89"/>
    </row>
    <row r="29" spans="2:10" ht="15">
      <c r="B29" s="89"/>
      <c r="C29" s="89"/>
      <c r="D29" s="89"/>
      <c r="E29" s="89"/>
      <c r="F29" s="89"/>
      <c r="G29" s="89"/>
      <c r="H29" s="89"/>
      <c r="I29" s="89"/>
      <c r="J29" s="89"/>
    </row>
    <row r="30" spans="2:10" ht="15">
      <c r="B30" s="89"/>
      <c r="C30" s="89"/>
      <c r="D30" s="89"/>
      <c r="E30" s="89"/>
      <c r="F30" s="89"/>
      <c r="G30" s="89"/>
      <c r="H30" s="89"/>
      <c r="I30" s="89"/>
      <c r="J30" s="89"/>
    </row>
    <row r="31" spans="2:10" ht="15">
      <c r="B31" s="89"/>
      <c r="C31" s="89"/>
      <c r="D31" s="89"/>
      <c r="E31" s="89"/>
      <c r="F31" s="89"/>
      <c r="G31" s="89"/>
      <c r="H31" s="89"/>
      <c r="I31" s="89"/>
      <c r="J31" s="89"/>
    </row>
    <row r="32" spans="2:10" ht="15">
      <c r="B32" s="89"/>
      <c r="C32" s="89"/>
      <c r="D32" s="89"/>
      <c r="E32" s="89"/>
      <c r="F32" s="89"/>
      <c r="G32" s="89"/>
      <c r="H32" s="89"/>
      <c r="I32" s="89"/>
      <c r="J32" s="89"/>
    </row>
    <row r="33" spans="2:10" ht="15">
      <c r="B33" s="89"/>
      <c r="C33" s="89"/>
      <c r="D33" s="89"/>
      <c r="E33" s="89"/>
      <c r="F33" s="89"/>
      <c r="G33" s="89"/>
      <c r="H33" s="89"/>
      <c r="I33" s="89"/>
      <c r="J33" s="89"/>
    </row>
    <row r="34" spans="2:10" ht="15">
      <c r="B34" s="89"/>
      <c r="C34" s="89"/>
      <c r="D34" s="89"/>
      <c r="E34" s="89"/>
      <c r="F34" s="89"/>
      <c r="G34" s="89"/>
      <c r="H34" s="89"/>
      <c r="I34" s="89"/>
      <c r="J34" s="89"/>
    </row>
    <row r="35" spans="2:10" ht="15">
      <c r="B35" s="89"/>
      <c r="C35" s="89"/>
      <c r="D35" s="89"/>
      <c r="E35" s="89"/>
      <c r="F35" s="89"/>
      <c r="G35" s="89"/>
      <c r="H35" s="89"/>
      <c r="I35" s="89"/>
      <c r="J35" s="89"/>
    </row>
    <row r="36" spans="2:10" ht="15">
      <c r="B36" s="89"/>
      <c r="C36" s="89"/>
      <c r="D36" s="89"/>
      <c r="E36" s="89"/>
      <c r="F36" s="89"/>
      <c r="G36" s="89"/>
      <c r="H36" s="89"/>
      <c r="I36" s="89"/>
      <c r="J36" s="89"/>
    </row>
    <row r="37" spans="2:10" ht="15">
      <c r="B37" s="89"/>
      <c r="C37" s="89"/>
      <c r="D37" s="89"/>
      <c r="E37" s="89"/>
      <c r="F37" s="89"/>
      <c r="G37" s="89"/>
      <c r="H37" s="89"/>
      <c r="I37" s="89"/>
      <c r="J37" s="89"/>
    </row>
    <row r="38" spans="2:10" ht="15">
      <c r="B38" s="89"/>
      <c r="C38" s="89"/>
      <c r="D38" s="89"/>
      <c r="E38" s="89"/>
      <c r="F38" s="89"/>
      <c r="G38" s="89"/>
      <c r="H38" s="89"/>
      <c r="I38" s="89"/>
      <c r="J38" s="89"/>
    </row>
    <row r="39" spans="2:10" ht="15">
      <c r="B39" s="89"/>
      <c r="C39" s="89"/>
      <c r="D39" s="89"/>
      <c r="E39" s="89"/>
      <c r="F39" s="89"/>
      <c r="G39" s="89"/>
      <c r="H39" s="89"/>
      <c r="I39" s="89"/>
      <c r="J39" s="89"/>
    </row>
    <row r="40" spans="2:10" ht="15">
      <c r="B40" s="89"/>
      <c r="C40" s="89"/>
      <c r="D40" s="89"/>
      <c r="E40" s="89"/>
      <c r="F40" s="89"/>
      <c r="G40" s="89"/>
      <c r="H40" s="89"/>
      <c r="I40" s="89"/>
      <c r="J40" s="89"/>
    </row>
    <row r="41" spans="2:10" ht="15">
      <c r="B41" s="89"/>
      <c r="C41" s="89"/>
      <c r="D41" s="89"/>
      <c r="E41" s="89"/>
      <c r="F41" s="89"/>
      <c r="G41" s="89"/>
      <c r="H41" s="89"/>
      <c r="I41" s="89"/>
      <c r="J41" s="89"/>
    </row>
    <row r="42" spans="2:10" ht="15">
      <c r="B42" s="89"/>
      <c r="C42" s="89"/>
      <c r="D42" s="89"/>
      <c r="E42" s="89"/>
      <c r="F42" s="89"/>
      <c r="G42" s="89"/>
      <c r="H42" s="89"/>
      <c r="I42" s="89"/>
      <c r="J42" s="89"/>
    </row>
    <row r="43" spans="2:10" ht="15">
      <c r="B43" s="89"/>
      <c r="C43" s="89"/>
      <c r="D43" s="89"/>
      <c r="E43" s="89"/>
      <c r="F43" s="89"/>
      <c r="G43" s="89"/>
      <c r="H43" s="89"/>
      <c r="I43" s="89"/>
      <c r="J43" s="89"/>
    </row>
    <row r="44" spans="2:10" ht="15">
      <c r="B44" s="89"/>
      <c r="C44" s="89"/>
      <c r="D44" s="89"/>
      <c r="E44" s="89"/>
      <c r="F44" s="89"/>
      <c r="G44" s="89"/>
      <c r="H44" s="89"/>
      <c r="I44" s="89"/>
      <c r="J44" s="89"/>
    </row>
    <row r="45" spans="2:10" ht="15">
      <c r="B45" s="89"/>
      <c r="C45" s="89"/>
      <c r="D45" s="89"/>
      <c r="E45" s="89"/>
      <c r="F45" s="89"/>
      <c r="G45" s="89"/>
      <c r="H45" s="89"/>
      <c r="I45" s="89"/>
      <c r="J45" s="89"/>
    </row>
    <row r="46" spans="2:10" ht="15">
      <c r="B46" s="89"/>
      <c r="C46" s="89"/>
      <c r="D46" s="89"/>
      <c r="E46" s="89"/>
      <c r="F46" s="89"/>
      <c r="G46" s="89"/>
      <c r="H46" s="89"/>
      <c r="I46" s="89"/>
      <c r="J46" s="89"/>
    </row>
    <row r="47" spans="2:10" ht="15">
      <c r="B47" s="89"/>
      <c r="C47" s="89"/>
      <c r="D47" s="89"/>
      <c r="E47" s="89"/>
      <c r="F47" s="89"/>
      <c r="G47" s="89"/>
      <c r="H47" s="89"/>
      <c r="I47" s="89"/>
      <c r="J47" s="89"/>
    </row>
    <row r="48" spans="2:10" ht="15">
      <c r="B48" s="89"/>
      <c r="C48" s="89"/>
      <c r="D48" s="89"/>
      <c r="E48" s="89"/>
      <c r="F48" s="89"/>
      <c r="G48" s="89"/>
      <c r="H48" s="89"/>
      <c r="I48" s="89"/>
      <c r="J48" s="89"/>
    </row>
    <row r="49" spans="2:10" ht="15">
      <c r="B49" s="89"/>
      <c r="C49" s="89"/>
      <c r="D49" s="89"/>
      <c r="E49" s="89"/>
      <c r="F49" s="89"/>
      <c r="G49" s="89"/>
      <c r="H49" s="89"/>
      <c r="I49" s="89"/>
      <c r="J49" s="89"/>
    </row>
  </sheetData>
  <mergeCells count="1">
    <mergeCell ref="B3:G3"/>
  </mergeCells>
  <printOptions horizontalCentered="1"/>
  <pageMargins left="0.3937007874015748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Q26"/>
  <sheetViews>
    <sheetView zoomScale="90" zoomScaleNormal="90" workbookViewId="0" topLeftCell="A1">
      <selection activeCell="M19" sqref="M19"/>
    </sheetView>
  </sheetViews>
  <sheetFormatPr defaultColWidth="9.140625" defaultRowHeight="12.75"/>
  <cols>
    <col min="1" max="1" width="4.8515625" style="302" customWidth="1"/>
    <col min="2" max="2" width="9.140625" style="302" customWidth="1"/>
    <col min="3" max="3" width="28.140625" style="302" customWidth="1"/>
    <col min="4" max="7" width="11.7109375" style="302" customWidth="1"/>
    <col min="8" max="10" width="9.57421875" style="302" bestFit="1" customWidth="1"/>
    <col min="11" max="11" width="9.421875" style="302" bestFit="1" customWidth="1"/>
    <col min="12" max="12" width="9.421875" style="302" customWidth="1"/>
    <col min="13" max="13" width="11.57421875" style="302" bestFit="1" customWidth="1"/>
    <col min="14" max="16384" width="9.140625" style="302" customWidth="1"/>
  </cols>
  <sheetData>
    <row r="2" spans="2:13" ht="20.25">
      <c r="B2" s="407" t="s">
        <v>210</v>
      </c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</row>
    <row r="3" ht="15.75">
      <c r="C3" s="303"/>
    </row>
    <row r="4" spans="2:3" ht="19.5" customHeight="1" thickBot="1">
      <c r="B4" s="304" t="s">
        <v>211</v>
      </c>
      <c r="C4" s="303"/>
    </row>
    <row r="5" spans="2:13" ht="16.5" thickBot="1" thickTop="1">
      <c r="B5" s="410" t="s">
        <v>212</v>
      </c>
      <c r="C5" s="411"/>
      <c r="D5" s="416" t="s">
        <v>213</v>
      </c>
      <c r="E5" s="417"/>
      <c r="F5" s="417"/>
      <c r="G5" s="417"/>
      <c r="H5" s="418"/>
      <c r="I5" s="418"/>
      <c r="J5" s="418"/>
      <c r="K5" s="418"/>
      <c r="L5" s="418"/>
      <c r="M5" s="419"/>
    </row>
    <row r="6" spans="2:13" ht="17.25" thickBot="1" thickTop="1">
      <c r="B6" s="412"/>
      <c r="C6" s="413"/>
      <c r="D6" s="305">
        <v>2000</v>
      </c>
      <c r="E6" s="306">
        <v>2001</v>
      </c>
      <c r="F6" s="306">
        <v>2002</v>
      </c>
      <c r="G6" s="307">
        <v>2003</v>
      </c>
      <c r="H6" s="307">
        <v>2004</v>
      </c>
      <c r="I6" s="307">
        <v>2005</v>
      </c>
      <c r="J6" s="308">
        <v>2006</v>
      </c>
      <c r="K6" s="309">
        <v>2007</v>
      </c>
      <c r="L6" s="309">
        <v>2008</v>
      </c>
      <c r="M6" s="310">
        <v>2009</v>
      </c>
    </row>
    <row r="7" spans="2:13" ht="21.75" customHeight="1" thickTop="1">
      <c r="B7" s="414" t="s">
        <v>214</v>
      </c>
      <c r="C7" s="415"/>
      <c r="D7" s="311">
        <v>2434</v>
      </c>
      <c r="E7" s="312">
        <v>2941</v>
      </c>
      <c r="F7" s="312">
        <v>3534</v>
      </c>
      <c r="G7" s="313">
        <v>4315</v>
      </c>
      <c r="H7" s="313">
        <v>4850</v>
      </c>
      <c r="I7" s="313">
        <v>6506</v>
      </c>
      <c r="J7" s="312">
        <v>6807</v>
      </c>
      <c r="K7" s="314">
        <v>7300</v>
      </c>
      <c r="L7" s="314">
        <v>7570</v>
      </c>
      <c r="M7" s="315">
        <v>8404</v>
      </c>
    </row>
    <row r="8" spans="2:13" ht="21.75" customHeight="1">
      <c r="B8" s="403" t="s">
        <v>215</v>
      </c>
      <c r="C8" s="404"/>
      <c r="D8" s="316">
        <v>616</v>
      </c>
      <c r="E8" s="317">
        <v>688</v>
      </c>
      <c r="F8" s="317">
        <v>1147</v>
      </c>
      <c r="G8" s="318">
        <v>1456</v>
      </c>
      <c r="H8" s="318">
        <v>1222</v>
      </c>
      <c r="I8" s="318">
        <v>1496</v>
      </c>
      <c r="J8" s="317">
        <v>1710</v>
      </c>
      <c r="K8" s="319">
        <v>2153</v>
      </c>
      <c r="L8" s="319">
        <v>2487</v>
      </c>
      <c r="M8" s="320">
        <v>2316</v>
      </c>
    </row>
    <row r="9" spans="2:13" ht="21.75" customHeight="1">
      <c r="B9" s="399" t="s">
        <v>216</v>
      </c>
      <c r="C9" s="400"/>
      <c r="D9" s="321">
        <f aca="true" t="shared" si="0" ref="D9:M9">D8/D7*100</f>
        <v>25.30813475760066</v>
      </c>
      <c r="E9" s="322">
        <f t="shared" si="0"/>
        <v>23.393403604216253</v>
      </c>
      <c r="F9" s="322">
        <f t="shared" si="0"/>
        <v>32.45614035087719</v>
      </c>
      <c r="G9" s="323">
        <f t="shared" si="0"/>
        <v>33.74275782155272</v>
      </c>
      <c r="H9" s="323">
        <f t="shared" si="0"/>
        <v>25.195876288659797</v>
      </c>
      <c r="I9" s="323">
        <f t="shared" si="0"/>
        <v>22.994159237626807</v>
      </c>
      <c r="J9" s="322">
        <f t="shared" si="0"/>
        <v>25.1211987659762</v>
      </c>
      <c r="K9" s="324">
        <f t="shared" si="0"/>
        <v>29.493150684931507</v>
      </c>
      <c r="L9" s="324">
        <f t="shared" si="0"/>
        <v>32.85336856010568</v>
      </c>
      <c r="M9" s="325">
        <f t="shared" si="0"/>
        <v>27.558305568776774</v>
      </c>
    </row>
    <row r="10" spans="2:13" ht="21.75" customHeight="1">
      <c r="B10" s="403" t="s">
        <v>217</v>
      </c>
      <c r="C10" s="404"/>
      <c r="D10" s="316">
        <v>27315</v>
      </c>
      <c r="E10" s="317">
        <v>25904</v>
      </c>
      <c r="F10" s="317">
        <v>24567</v>
      </c>
      <c r="G10" s="318">
        <v>23879</v>
      </c>
      <c r="H10" s="318">
        <v>25519</v>
      </c>
      <c r="I10" s="318">
        <v>27768</v>
      </c>
      <c r="J10" s="317">
        <v>25224</v>
      </c>
      <c r="K10" s="319">
        <v>24889</v>
      </c>
      <c r="L10" s="319">
        <v>36794</v>
      </c>
      <c r="M10" s="326">
        <v>48062</v>
      </c>
    </row>
    <row r="11" spans="2:13" ht="21.75" customHeight="1">
      <c r="B11" s="399" t="s">
        <v>218</v>
      </c>
      <c r="C11" s="400"/>
      <c r="D11" s="316">
        <v>14686</v>
      </c>
      <c r="E11" s="317">
        <v>13678</v>
      </c>
      <c r="F11" s="317">
        <v>10721</v>
      </c>
      <c r="G11" s="318">
        <v>8869</v>
      </c>
      <c r="H11" s="318">
        <v>5858</v>
      </c>
      <c r="I11" s="318">
        <v>4311</v>
      </c>
      <c r="J11" s="327">
        <v>5218</v>
      </c>
      <c r="K11" s="328">
        <v>4284</v>
      </c>
      <c r="L11" s="328">
        <v>2503</v>
      </c>
      <c r="M11" s="320">
        <v>2523</v>
      </c>
    </row>
    <row r="12" spans="2:13" ht="21.75" customHeight="1">
      <c r="B12" s="405" t="s">
        <v>219</v>
      </c>
      <c r="C12" s="406"/>
      <c r="D12" s="321">
        <f aca="true" t="shared" si="1" ref="D12:M12">D11/D10*100</f>
        <v>53.76533040453963</v>
      </c>
      <c r="E12" s="322">
        <f t="shared" si="1"/>
        <v>52.80265596046942</v>
      </c>
      <c r="F12" s="322">
        <f t="shared" si="1"/>
        <v>43.639842064558145</v>
      </c>
      <c r="G12" s="323">
        <f t="shared" si="1"/>
        <v>37.141421332551616</v>
      </c>
      <c r="H12" s="323">
        <f t="shared" si="1"/>
        <v>22.955444962576905</v>
      </c>
      <c r="I12" s="323">
        <f t="shared" si="1"/>
        <v>15.525064822817633</v>
      </c>
      <c r="J12" s="322">
        <f t="shared" si="1"/>
        <v>20.68664763717095</v>
      </c>
      <c r="K12" s="324">
        <f t="shared" si="1"/>
        <v>17.21242315882518</v>
      </c>
      <c r="L12" s="324">
        <f t="shared" si="1"/>
        <v>6.802739577104963</v>
      </c>
      <c r="M12" s="325">
        <f t="shared" si="1"/>
        <v>5.249469435312721</v>
      </c>
    </row>
    <row r="13" spans="2:13" ht="21.75" customHeight="1">
      <c r="B13" s="399" t="s">
        <v>220</v>
      </c>
      <c r="C13" s="400"/>
      <c r="D13" s="329">
        <v>343.4</v>
      </c>
      <c r="E13" s="330">
        <v>447.2</v>
      </c>
      <c r="F13" s="330">
        <v>544.7</v>
      </c>
      <c r="G13" s="331">
        <v>456.3</v>
      </c>
      <c r="H13" s="331">
        <v>218.52</v>
      </c>
      <c r="I13" s="331">
        <v>261.83</v>
      </c>
      <c r="J13" s="327">
        <v>240.73</v>
      </c>
      <c r="K13" s="328">
        <v>233.32</v>
      </c>
      <c r="L13" s="328">
        <v>249.14</v>
      </c>
      <c r="M13" s="320" t="s">
        <v>221</v>
      </c>
    </row>
    <row r="14" spans="2:13" ht="21.75" customHeight="1">
      <c r="B14" s="399" t="s">
        <v>222</v>
      </c>
      <c r="C14" s="400"/>
      <c r="D14" s="316">
        <v>203</v>
      </c>
      <c r="E14" s="317">
        <v>161</v>
      </c>
      <c r="F14" s="317">
        <v>235</v>
      </c>
      <c r="G14" s="318">
        <v>1439</v>
      </c>
      <c r="H14" s="318">
        <v>1138</v>
      </c>
      <c r="I14" s="318">
        <v>89</v>
      </c>
      <c r="J14" s="327">
        <v>524</v>
      </c>
      <c r="K14" s="328">
        <v>508</v>
      </c>
      <c r="L14" s="328">
        <v>432</v>
      </c>
      <c r="M14" s="320">
        <v>250</v>
      </c>
    </row>
    <row r="15" spans="2:13" ht="21.75" customHeight="1">
      <c r="B15" s="399" t="s">
        <v>223</v>
      </c>
      <c r="C15" s="400"/>
      <c r="D15" s="316">
        <v>32</v>
      </c>
      <c r="E15" s="317">
        <v>94</v>
      </c>
      <c r="F15" s="317">
        <v>195</v>
      </c>
      <c r="G15" s="318">
        <v>450</v>
      </c>
      <c r="H15" s="318">
        <v>435</v>
      </c>
      <c r="I15" s="318">
        <v>42</v>
      </c>
      <c r="J15" s="327">
        <v>228</v>
      </c>
      <c r="K15" s="328">
        <v>309</v>
      </c>
      <c r="L15" s="328">
        <v>314</v>
      </c>
      <c r="M15" s="320">
        <v>91</v>
      </c>
    </row>
    <row r="16" spans="2:13" ht="21.75" customHeight="1">
      <c r="B16" s="399" t="s">
        <v>224</v>
      </c>
      <c r="C16" s="409"/>
      <c r="D16" s="321">
        <f aca="true" t="shared" si="2" ref="D16:M16">D15/D14*100</f>
        <v>15.763546798029557</v>
      </c>
      <c r="E16" s="321">
        <f t="shared" si="2"/>
        <v>58.38509316770186</v>
      </c>
      <c r="F16" s="321">
        <f t="shared" si="2"/>
        <v>82.97872340425532</v>
      </c>
      <c r="G16" s="324">
        <f t="shared" si="2"/>
        <v>31.271716469770674</v>
      </c>
      <c r="H16" s="323">
        <f t="shared" si="2"/>
        <v>38.22495606326889</v>
      </c>
      <c r="I16" s="323">
        <f t="shared" si="2"/>
        <v>47.19101123595505</v>
      </c>
      <c r="J16" s="322">
        <f t="shared" si="2"/>
        <v>43.51145038167939</v>
      </c>
      <c r="K16" s="324">
        <f t="shared" si="2"/>
        <v>60.82677165354331</v>
      </c>
      <c r="L16" s="324">
        <f t="shared" si="2"/>
        <v>72.68518518518519</v>
      </c>
      <c r="M16" s="325">
        <f t="shared" si="2"/>
        <v>36.4</v>
      </c>
    </row>
    <row r="17" spans="2:13" ht="24.75" customHeight="1">
      <c r="B17" s="401" t="s">
        <v>61</v>
      </c>
      <c r="C17" s="332" t="s">
        <v>158</v>
      </c>
      <c r="D17" s="316">
        <v>23</v>
      </c>
      <c r="E17" s="317">
        <v>16</v>
      </c>
      <c r="F17" s="327">
        <v>20</v>
      </c>
      <c r="G17" s="333">
        <v>44</v>
      </c>
      <c r="H17" s="333">
        <v>37</v>
      </c>
      <c r="I17" s="333">
        <v>57</v>
      </c>
      <c r="J17" s="327">
        <v>78</v>
      </c>
      <c r="K17" s="328">
        <v>191</v>
      </c>
      <c r="L17" s="328">
        <v>197</v>
      </c>
      <c r="M17" s="320">
        <v>63</v>
      </c>
    </row>
    <row r="18" spans="2:13" ht="24.75" customHeight="1">
      <c r="B18" s="402"/>
      <c r="C18" s="334" t="s">
        <v>225</v>
      </c>
      <c r="D18" s="316">
        <v>22</v>
      </c>
      <c r="E18" s="317">
        <v>14</v>
      </c>
      <c r="F18" s="327">
        <v>19</v>
      </c>
      <c r="G18" s="333">
        <v>44</v>
      </c>
      <c r="H18" s="333">
        <v>33</v>
      </c>
      <c r="I18" s="333">
        <v>38</v>
      </c>
      <c r="J18" s="327">
        <v>63</v>
      </c>
      <c r="K18" s="328">
        <v>182</v>
      </c>
      <c r="L18" s="328">
        <v>193</v>
      </c>
      <c r="M18" s="320">
        <v>62</v>
      </c>
    </row>
    <row r="19" spans="2:13" ht="24.75" customHeight="1">
      <c r="B19" s="402"/>
      <c r="C19" s="335" t="s">
        <v>227</v>
      </c>
      <c r="D19" s="316">
        <v>1</v>
      </c>
      <c r="E19" s="317">
        <v>2</v>
      </c>
      <c r="F19" s="327">
        <v>1</v>
      </c>
      <c r="G19" s="333">
        <v>0</v>
      </c>
      <c r="H19" s="333">
        <v>4</v>
      </c>
      <c r="I19" s="333">
        <v>19</v>
      </c>
      <c r="J19" s="327">
        <v>15</v>
      </c>
      <c r="K19" s="328">
        <v>9</v>
      </c>
      <c r="L19" s="328">
        <v>4</v>
      </c>
      <c r="M19" s="320">
        <v>1</v>
      </c>
    </row>
    <row r="20" spans="2:13" ht="21.75" customHeight="1" thickBot="1">
      <c r="B20" s="397" t="s">
        <v>226</v>
      </c>
      <c r="C20" s="398"/>
      <c r="D20" s="336">
        <v>54</v>
      </c>
      <c r="E20" s="337">
        <v>55</v>
      </c>
      <c r="F20" s="338">
        <v>83</v>
      </c>
      <c r="G20" s="339">
        <v>0</v>
      </c>
      <c r="H20" s="339">
        <v>238</v>
      </c>
      <c r="I20" s="339">
        <v>540</v>
      </c>
      <c r="J20" s="338">
        <v>653</v>
      </c>
      <c r="K20" s="340">
        <v>1100</v>
      </c>
      <c r="L20" s="340">
        <v>1318</v>
      </c>
      <c r="M20" s="341">
        <v>1477</v>
      </c>
    </row>
    <row r="21" ht="6" customHeight="1" thickTop="1"/>
    <row r="22" spans="2:3" ht="12.75">
      <c r="B22" s="342"/>
      <c r="C22" s="343" t="s">
        <v>228</v>
      </c>
    </row>
    <row r="23" ht="12.75">
      <c r="B23" s="342"/>
    </row>
    <row r="25" spans="2:17" ht="12.75">
      <c r="B25" s="342"/>
      <c r="D25" s="342"/>
      <c r="E25" s="342"/>
      <c r="F25" s="342"/>
      <c r="G25" s="342"/>
      <c r="H25" s="342"/>
      <c r="I25" s="342"/>
      <c r="J25" s="344"/>
      <c r="K25" s="344"/>
      <c r="L25" s="344"/>
      <c r="M25" s="344"/>
      <c r="N25" s="344"/>
      <c r="O25" s="344"/>
      <c r="P25" s="344"/>
      <c r="Q25" s="344"/>
    </row>
    <row r="26" spans="2:9" ht="12.75">
      <c r="B26" s="342"/>
      <c r="D26" s="342"/>
      <c r="E26" s="342"/>
      <c r="F26" s="342"/>
      <c r="G26" s="342"/>
      <c r="H26" s="342"/>
      <c r="I26" s="342"/>
    </row>
  </sheetData>
  <mergeCells count="15">
    <mergeCell ref="B2:M2"/>
    <mergeCell ref="B16:C16"/>
    <mergeCell ref="B5:C6"/>
    <mergeCell ref="B7:C7"/>
    <mergeCell ref="D5:M5"/>
    <mergeCell ref="B20:C20"/>
    <mergeCell ref="B14:C14"/>
    <mergeCell ref="B17:B19"/>
    <mergeCell ref="B8:C8"/>
    <mergeCell ref="B9:C9"/>
    <mergeCell ref="B10:C10"/>
    <mergeCell ref="B11:C11"/>
    <mergeCell ref="B12:C12"/>
    <mergeCell ref="B15:C15"/>
    <mergeCell ref="B13:C13"/>
  </mergeCells>
  <printOptions horizontalCentered="1" verticalCentered="1"/>
  <pageMargins left="0" right="0" top="0.984251968503937" bottom="0.984251968503937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HelenaH</cp:lastModifiedBy>
  <cp:lastPrinted>2010-01-13T12:37:42Z</cp:lastPrinted>
  <dcterms:modified xsi:type="dcterms:W3CDTF">2010-03-08T09:31:27Z</dcterms:modified>
  <cp:category/>
  <cp:version/>
  <cp:contentType/>
  <cp:contentStatus/>
</cp:coreProperties>
</file>