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35" windowWidth="9720" windowHeight="7320" activeTab="0"/>
  </bookViews>
  <sheets>
    <sheet name="tabuľka 1" sheetId="1" r:id="rId1"/>
    <sheet name="tabuľka 2" sheetId="2" r:id="rId2"/>
    <sheet name="tabuľka 3" sheetId="3" r:id="rId3"/>
    <sheet name="tabuľka 4" sheetId="4" r:id="rId4"/>
    <sheet name="tabuľka 5" sheetId="5" r:id="rId5"/>
    <sheet name="tabuľka 6 a 7" sheetId="6" r:id="rId6"/>
    <sheet name="tabuľka 8" sheetId="7" r:id="rId7"/>
    <sheet name="tabuľka 9" sheetId="8" r:id="rId8"/>
    <sheet name="tabuľka 10" sheetId="9" r:id="rId9"/>
    <sheet name="tabuľka 11" sheetId="10" r:id="rId10"/>
    <sheet name="tabuľka 12 " sheetId="11" r:id="rId11"/>
    <sheet name="tabuľka 13" sheetId="12" r:id="rId12"/>
  </sheets>
  <externalReferences>
    <externalReference r:id="rId15"/>
  </externalReferences>
  <definedNames>
    <definedName name="_FiltrDatabáze" localSheetId="5" hidden="1">'[1]Hárok1'!$B$3:$C$50</definedName>
    <definedName name="_xlnm.Print_Titles" localSheetId="10">'tabuľka 12 '!$8:$9</definedName>
  </definedNames>
  <calcPr fullCalcOnLoad="1"/>
</workbook>
</file>

<file path=xl/sharedStrings.xml><?xml version="1.0" encoding="utf-8"?>
<sst xmlns="http://schemas.openxmlformats.org/spreadsheetml/2006/main" count="517" uniqueCount="337">
  <si>
    <t>Tabuľka 1</t>
  </si>
  <si>
    <t>Inšpektorát
pre kraj</t>
  </si>
  <si>
    <t>Počet
kontrolovaných
prevádzkarní</t>
  </si>
  <si>
    <t>Počet
kontrolných
nákupov</t>
  </si>
  <si>
    <t>Počet
predražených
nákupov</t>
  </si>
  <si>
    <t>Podiel
predražených
nákupov v %</t>
  </si>
  <si>
    <t>Miera
predraženia
na 100,- Sk</t>
  </si>
  <si>
    <t>Hodnota
pozastaveného
tovaru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</si>
  <si>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</si>
  <si>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</si>
  <si>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</si>
  <si>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</si>
  <si>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</si>
  <si>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</si>
  <si>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</si>
  <si>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</si>
  <si>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            rok 2007</t>
  </si>
  <si>
    <t>Spolu rok 2008</t>
  </si>
  <si>
    <t xml:space="preserve">                         Výsledky kontrolnej činnosti SOI za rok  2008</t>
  </si>
  <si>
    <t>Prehľad kontrolovaného sortimentu za rok 2008</t>
  </si>
  <si>
    <t xml:space="preserve">     podľa územnosprávneho usporiadania SR</t>
  </si>
  <si>
    <t xml:space="preserve"> </t>
  </si>
  <si>
    <t>Tabuľka  2</t>
  </si>
  <si>
    <t xml:space="preserve">             Kraj</t>
  </si>
  <si>
    <t xml:space="preserve"> Trnavský</t>
  </si>
  <si>
    <t xml:space="preserve"> Trenčiansky</t>
  </si>
  <si>
    <t xml:space="preserve">  Nitriansky</t>
  </si>
  <si>
    <t xml:space="preserve"> Žilinský</t>
  </si>
  <si>
    <t xml:space="preserve">  Prešovský</t>
  </si>
  <si>
    <t xml:space="preserve"> Košický</t>
  </si>
  <si>
    <t xml:space="preserve">        Spolu</t>
  </si>
  <si>
    <t>Sortiment</t>
  </si>
  <si>
    <t>Počet</t>
  </si>
  <si>
    <t xml:space="preserve">   v %</t>
  </si>
  <si>
    <t xml:space="preserve">    v %</t>
  </si>
  <si>
    <t xml:space="preserve">       v % </t>
  </si>
  <si>
    <t xml:space="preserve">  v %</t>
  </si>
  <si>
    <t>Potravinársky tovar</t>
  </si>
  <si>
    <t>Rozličný tovar</t>
  </si>
  <si>
    <t>Nepotravinársky tovar</t>
  </si>
  <si>
    <t>Pohostinské zariadenia</t>
  </si>
  <si>
    <t>Ubytovacie zariadenia</t>
  </si>
  <si>
    <t>Cestovné kancelárie</t>
  </si>
  <si>
    <t>Služby</t>
  </si>
  <si>
    <t>Spolu:</t>
  </si>
  <si>
    <t xml:space="preserve">           Prehľad o pozastavenom tovare za rok 2008</t>
  </si>
  <si>
    <t>Tabuľka 3</t>
  </si>
  <si>
    <t>Dôvod</t>
  </si>
  <si>
    <t>Tuzemsko</t>
  </si>
  <si>
    <t>Členské štáty EÚ</t>
  </si>
  <si>
    <t>Dovoz mimo EÚ</t>
  </si>
  <si>
    <t>Neznámy pôvod</t>
  </si>
  <si>
    <t>S p o l u</t>
  </si>
  <si>
    <t>Počet druhov</t>
  </si>
  <si>
    <t xml:space="preserve">Hodnota      </t>
  </si>
  <si>
    <t>Podiel        v %</t>
  </si>
  <si>
    <t>Označovanie</t>
  </si>
  <si>
    <t>Označovanie CE</t>
  </si>
  <si>
    <t>Návody na údržbu</t>
  </si>
  <si>
    <t>Vyhlásenie o zhode</t>
  </si>
  <si>
    <t>Kvalita</t>
  </si>
  <si>
    <t>Doba spotreby</t>
  </si>
  <si>
    <t>Nebezpečné výrobky</t>
  </si>
  <si>
    <t>C e l ko m</t>
  </si>
  <si>
    <t>-</t>
  </si>
  <si>
    <t xml:space="preserve">Výsledky kontrolnej činnosti SOI za 2008 </t>
  </si>
  <si>
    <t>Podľa sortimentných skupín - nepotraviny</t>
  </si>
  <si>
    <t>Tabuľka 4</t>
  </si>
  <si>
    <t>Počet kontrolo- vaných prevádz-kární</t>
  </si>
  <si>
    <t xml:space="preserve">                 Pozastavený predaj tovaru za zistené nedostatky</t>
  </si>
  <si>
    <t xml:space="preserve">        Tuzemsko</t>
  </si>
  <si>
    <t>Členské krajiny EÚ</t>
  </si>
  <si>
    <t>Hodnota v Sk</t>
  </si>
  <si>
    <t xml:space="preserve"> Hodnota v Sk</t>
  </si>
  <si>
    <t>Podiel v %</t>
  </si>
  <si>
    <t>Určené výrobky - Smernica NP</t>
  </si>
  <si>
    <t>Stavebný materiál</t>
  </si>
  <si>
    <t>Elektrovýrobky</t>
  </si>
  <si>
    <t>Osobné ochranné prostriedky</t>
  </si>
  <si>
    <t>Hračky</t>
  </si>
  <si>
    <t>Strojná technika</t>
  </si>
  <si>
    <t>Spotrebná elektronika</t>
  </si>
  <si>
    <t>Spolu</t>
  </si>
  <si>
    <t>Určené výrobky - Smernica SP</t>
  </si>
  <si>
    <t>Pyrotechnické výrobky</t>
  </si>
  <si>
    <t>Určené výrobky spolu</t>
  </si>
  <si>
    <t>Neurčené výrobky</t>
  </si>
  <si>
    <t>Motorové vozidlá a náhr. diely</t>
  </si>
  <si>
    <t>Textil a odevy</t>
  </si>
  <si>
    <t>Nábytok</t>
  </si>
  <si>
    <t>Športové potreby</t>
  </si>
  <si>
    <t>Chemické látky a prípravky</t>
  </si>
  <si>
    <t>Obuv</t>
  </si>
  <si>
    <t>Kuchynské potreby</t>
  </si>
  <si>
    <t>Železiarstvo</t>
  </si>
  <si>
    <t>Ostatný tovar</t>
  </si>
  <si>
    <t>Vzorky odobraté a hodnotené v roku  2008</t>
  </si>
  <si>
    <t>Tabuľka 5</t>
  </si>
  <si>
    <t>Druh vzorky</t>
  </si>
  <si>
    <t xml:space="preserve">Odobraté vzorky     </t>
  </si>
  <si>
    <t>Vyhodnotené vzorky*</t>
  </si>
  <si>
    <t>Vyhovujúce vzorky</t>
  </si>
  <si>
    <t xml:space="preserve">        Nevyhovujúce vzorky</t>
  </si>
  <si>
    <t>Hodnotenie vykonala AO</t>
  </si>
  <si>
    <t>počet</t>
  </si>
  <si>
    <t>v %</t>
  </si>
  <si>
    <t>dôvod</t>
  </si>
  <si>
    <t>bezpečnosť</t>
  </si>
  <si>
    <t>zhoda</t>
  </si>
  <si>
    <t>iné</t>
  </si>
  <si>
    <t>Určené výrobky -Smernice NP</t>
  </si>
  <si>
    <t>elektro výrobky</t>
  </si>
  <si>
    <t>101,104,171</t>
  </si>
  <si>
    <t>hračky</t>
  </si>
  <si>
    <t>104,Labeko, BellNovamann</t>
  </si>
  <si>
    <t>osobné ochranné prostriedky</t>
  </si>
  <si>
    <t xml:space="preserve"> -</t>
  </si>
  <si>
    <t>144, ČR</t>
  </si>
  <si>
    <t>stavebné výrobky</t>
  </si>
  <si>
    <t>Štrba, I - SOI KE</t>
  </si>
  <si>
    <t>Spolu určené výrobky</t>
  </si>
  <si>
    <t>Neurčené výrobky - všeobecná bezpečnosť</t>
  </si>
  <si>
    <t>detské kočíky</t>
  </si>
  <si>
    <t>detské autosedačky</t>
  </si>
  <si>
    <t>bicykle</t>
  </si>
  <si>
    <t xml:space="preserve"> - </t>
  </si>
  <si>
    <t>nábytok</t>
  </si>
  <si>
    <t>rebríky</t>
  </si>
  <si>
    <t>laserové pomôcky</t>
  </si>
  <si>
    <t>ÚVZ</t>
  </si>
  <si>
    <t>výrobky na starostlivosť o deti</t>
  </si>
  <si>
    <t>Labeko, BellNovaman</t>
  </si>
  <si>
    <t>dekoračné predmety</t>
  </si>
  <si>
    <t>obuv</t>
  </si>
  <si>
    <t>bižutéria</t>
  </si>
  <si>
    <t>sviečky</t>
  </si>
  <si>
    <t>BellNovamann</t>
  </si>
  <si>
    <t>plasty</t>
  </si>
  <si>
    <t>PEÚ MV SR</t>
  </si>
  <si>
    <t>chemické látky a prípravky</t>
  </si>
  <si>
    <t xml:space="preserve">    -  </t>
  </si>
  <si>
    <t xml:space="preserve">   -</t>
  </si>
  <si>
    <t>I-SOI Bratislava</t>
  </si>
  <si>
    <t>biocídne výrobky</t>
  </si>
  <si>
    <t xml:space="preserve">  -</t>
  </si>
  <si>
    <t>lepidlá</t>
  </si>
  <si>
    <t>ručné náradie</t>
  </si>
  <si>
    <t>žartovný predmet (cigareta)</t>
  </si>
  <si>
    <t>Spolu neurčené výrobky</t>
  </si>
  <si>
    <t>S P O L U</t>
  </si>
  <si>
    <t>PEÚ MV SR - Ministerstvo vnútra SR, Požiarnotechnický a expertízny ústav</t>
  </si>
  <si>
    <t>ÚVZ - Úrad verejného zdravotníctva SR</t>
  </si>
  <si>
    <t>I -SOI BA - inšpektorát SOI pre Bratislavský kraj</t>
  </si>
  <si>
    <t>I - SOI KE - inšpektorát SOI pre Košický kraj</t>
  </si>
  <si>
    <r>
      <t>T</t>
    </r>
    <r>
      <rPr>
        <sz val="9"/>
        <rFont val="Arial"/>
        <family val="2"/>
      </rPr>
      <t>Ü</t>
    </r>
    <r>
      <rPr>
        <sz val="9"/>
        <rFont val="Arial CE"/>
        <family val="0"/>
      </rPr>
      <t>V SÜD, Praha</t>
    </r>
  </si>
  <si>
    <r>
      <t>Poznámka:</t>
    </r>
    <r>
      <rPr>
        <sz val="10"/>
        <rFont val="Arial CE"/>
        <family val="0"/>
      </rPr>
      <t xml:space="preserve"> * do vyhodnotených vzoriek sú zahrnuté aj vzorky, ktoré boli odobraté v r. 2007</t>
    </r>
  </si>
  <si>
    <t xml:space="preserve">      Prehľad sťažností, podnetov a oznámení  za rok 2008</t>
  </si>
  <si>
    <t>Tabuľka 6</t>
  </si>
  <si>
    <t xml:space="preserve">                                                                                                         </t>
  </si>
  <si>
    <t xml:space="preserve">Inšpektorát </t>
  </si>
  <si>
    <t>prijaté</t>
  </si>
  <si>
    <t xml:space="preserve">        z toho</t>
  </si>
  <si>
    <t>prešetrené</t>
  </si>
  <si>
    <t xml:space="preserve">               z toho</t>
  </si>
  <si>
    <t>v riešení</t>
  </si>
  <si>
    <t>postúpené</t>
  </si>
  <si>
    <t>odpísané</t>
  </si>
  <si>
    <t>pre kraj</t>
  </si>
  <si>
    <t>celkom</t>
  </si>
  <si>
    <t>adresné</t>
  </si>
  <si>
    <t>anonymné</t>
  </si>
  <si>
    <t>opodstatnené</t>
  </si>
  <si>
    <t>neopodstatnené</t>
  </si>
  <si>
    <t>iným orgánom</t>
  </si>
  <si>
    <t>bez šetrenia</t>
  </si>
  <si>
    <t>ÚI SOI</t>
  </si>
  <si>
    <t>S p o l u  rok 2008</t>
  </si>
  <si>
    <t xml:space="preserve">                 rok 2007</t>
  </si>
  <si>
    <t>Index 2008/2007 (%)</t>
  </si>
  <si>
    <t xml:space="preserve">                                Prehľad sťažností, podnetov a oznámení za rok 2008 -  z toho služby</t>
  </si>
  <si>
    <t>Tabuľka 7</t>
  </si>
  <si>
    <t xml:space="preserve">            z toho</t>
  </si>
  <si>
    <t xml:space="preserve">   bez šetrenia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</si>
  <si>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</si>
  <si>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Prehľad pokút a opatrení uložených SOI v roku 2008</t>
  </si>
  <si>
    <t>Tabuľka  8</t>
  </si>
  <si>
    <t>Rok 2004</t>
  </si>
  <si>
    <t>Rok 2005</t>
  </si>
  <si>
    <t xml:space="preserve"> Rok 2006</t>
  </si>
  <si>
    <t xml:space="preserve"> Rok 2007</t>
  </si>
  <si>
    <t xml:space="preserve"> Rok 2008</t>
  </si>
  <si>
    <t>Druh pokuty a opatrenia</t>
  </si>
  <si>
    <t xml:space="preserve">
počet</t>
  </si>
  <si>
    <t xml:space="preserve">
Hodnota v tis. Sk</t>
  </si>
  <si>
    <t>Blokové pokuty</t>
  </si>
  <si>
    <t>Peňažné pokuty fyzickým osobám</t>
  </si>
  <si>
    <t>Poriadkové pokuty</t>
  </si>
  <si>
    <t>Peňažné pokuty právnickým osobám</t>
  </si>
  <si>
    <t>Peňažné pokuty celkom</t>
  </si>
  <si>
    <t>Pokarhania</t>
  </si>
  <si>
    <t>Odstúpené :</t>
  </si>
  <si>
    <t xml:space="preserve">  návrh na odobratie živnost. oprávnenia</t>
  </si>
  <si>
    <t xml:space="preserve">  orgánom štátnej správy</t>
  </si>
  <si>
    <t xml:space="preserve">  orgánom činným v trestnom konaní</t>
  </si>
  <si>
    <t xml:space="preserve">    -</t>
  </si>
  <si>
    <t xml:space="preserve">  iným</t>
  </si>
  <si>
    <t xml:space="preserve">  - </t>
  </si>
  <si>
    <t>Zákazové opatrenia</t>
  </si>
  <si>
    <t xml:space="preserve">  na meradlá </t>
  </si>
  <si>
    <t xml:space="preserve">  na predaj tovarov </t>
  </si>
  <si>
    <t>Počet pokút a opatrení spolu</t>
  </si>
  <si>
    <t xml:space="preserve">              Publikačná činnosť SOI za rok  2008</t>
  </si>
  <si>
    <t>Tabuľka 9</t>
  </si>
  <si>
    <t>Inšpektorát</t>
  </si>
  <si>
    <t>Podiel</t>
  </si>
  <si>
    <t xml:space="preserve">                z  t o h o</t>
  </si>
  <si>
    <t>publikácií 
celkom</t>
  </si>
  <si>
    <t>tlač</t>
  </si>
  <si>
    <t>rozhlas</t>
  </si>
  <si>
    <t>televízia
+ internet</t>
  </si>
  <si>
    <t>Ústredný inšpektorát</t>
  </si>
  <si>
    <t>S p o l u  rok 2007</t>
  </si>
  <si>
    <t xml:space="preserve">   Prehľad výsledkov kontrol trhového dozoru za roky 2000 - 2008</t>
  </si>
  <si>
    <t>Tabuľka 10</t>
  </si>
  <si>
    <t>Sledovaný ukazovateľ</t>
  </si>
  <si>
    <t>Rok</t>
  </si>
  <si>
    <t>Počet podnetov</t>
  </si>
  <si>
    <t>Opodstatnené podnety</t>
  </si>
  <si>
    <t>Podiel opodstatnených podnetov v %</t>
  </si>
  <si>
    <t>Počet kontrol celkom</t>
  </si>
  <si>
    <t>Počet kontrol so zisteniami</t>
  </si>
  <si>
    <t>Podiel kontrol so zisteniami v %</t>
  </si>
  <si>
    <t>Pozastavenie predaja tovaru v mil. Sk</t>
  </si>
  <si>
    <t>Počet odobratých vzoriek</t>
  </si>
  <si>
    <t>Počet nevyhovujúcich vzoriek</t>
  </si>
  <si>
    <t>Podiel nevyhovujúcich vzoriek v %</t>
  </si>
  <si>
    <t>zistenia vlastné</t>
  </si>
  <si>
    <t>Počet notifikácií zo systému Rapex</t>
  </si>
  <si>
    <r>
      <t xml:space="preserve">zistenia na základe notifikácie zo systému </t>
    </r>
    <r>
      <rPr>
        <b/>
        <i/>
        <sz val="10"/>
        <rFont val="Arial CE"/>
        <family val="2"/>
      </rPr>
      <t xml:space="preserve"> Rapex</t>
    </r>
  </si>
  <si>
    <t>KAPITÁLOVÉ  VÝDAVKY  -  Čerpanie rozpočtu SOI</t>
  </si>
  <si>
    <t>program 07L05</t>
  </si>
  <si>
    <t>k 31. 12. 2008</t>
  </si>
  <si>
    <t>Tab.č.11</t>
  </si>
  <si>
    <t>v tis.Sk</t>
  </si>
  <si>
    <t>Kat.</t>
  </si>
  <si>
    <t>Kód</t>
  </si>
  <si>
    <t>Položka a podpoložka</t>
  </si>
  <si>
    <t>Pridelené</t>
  </si>
  <si>
    <t>Čerpanie k 31.12.2008</t>
  </si>
  <si>
    <t>%</t>
  </si>
  <si>
    <t>Nákup softwaru</t>
  </si>
  <si>
    <t>Nákup softwaru a neh. maj.</t>
  </si>
  <si>
    <t>Interiérove vybavenie</t>
  </si>
  <si>
    <t>Výpočtová technika</t>
  </si>
  <si>
    <t>Telekomunikačná technika</t>
  </si>
  <si>
    <t>Prevádz.strojov,príst.a zariadení</t>
  </si>
  <si>
    <t>Nábytok a kanc. zariadenie</t>
  </si>
  <si>
    <t>Osobné motorové vozidlá</t>
  </si>
  <si>
    <t>Dopravné prostriedky</t>
  </si>
  <si>
    <t>Rekonštrukcia a modernizácia</t>
  </si>
  <si>
    <t>Realiz. stavieb a ich TZ</t>
  </si>
  <si>
    <t>kapitálové výdavky</t>
  </si>
  <si>
    <t xml:space="preserve">ČERPANIE BEŽNÝCH  VÝDAVKOV  S O I   </t>
  </si>
  <si>
    <t>tabuľka 12</t>
  </si>
  <si>
    <t>Rozpočet na rok 2008</t>
  </si>
  <si>
    <t xml:space="preserve">Mzdy, platy a ost. os. v. </t>
  </si>
  <si>
    <t>Tarifný plat</t>
  </si>
  <si>
    <t>Príplatky spolu</t>
  </si>
  <si>
    <t>Odmeny spolu</t>
  </si>
  <si>
    <t>Poistné a prísp. do poisťovne</t>
  </si>
  <si>
    <t>Poistné do VšZP</t>
  </si>
  <si>
    <t>Poistné do Spoloč.zdr.poisťovne</t>
  </si>
  <si>
    <t>Poistné do ďalších ZP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</si>
  <si>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</si>
  <si>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</si>
  <si>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</si>
  <si>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</si>
  <si>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</si>
  <si>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</t>
  </si>
  <si>
    <t>Poistné do SP spolu</t>
  </si>
  <si>
    <t>Tuzemské</t>
  </si>
  <si>
    <t>Zahraničné</t>
  </si>
  <si>
    <t xml:space="preserve">Cestovné výdavky </t>
  </si>
  <si>
    <t>Energie</t>
  </si>
  <si>
    <t>Vodné,stočné</t>
  </si>
  <si>
    <t>Poštové a telekomunikačné služby</t>
  </si>
  <si>
    <t>Energie, voda a komunikácie</t>
  </si>
  <si>
    <t>Interierové vybavenie</t>
  </si>
  <si>
    <t>Prevádzkové stroje,pr.,zariad. a nár.</t>
  </si>
  <si>
    <t>Všeobecný materiál</t>
  </si>
  <si>
    <t>Knihy, časopisy, noviny</t>
  </si>
  <si>
    <t>Pracovné odevy,obuv</t>
  </si>
  <si>
    <t>Nehmotný majetok</t>
  </si>
  <si>
    <t>Palivo ako zdroj energie</t>
  </si>
  <si>
    <t>Reprezentačné</t>
  </si>
  <si>
    <t xml:space="preserve">Materiál </t>
  </si>
  <si>
    <t>Palivo,mazivá,oleje,kvapaliny</t>
  </si>
  <si>
    <t>Servis, údržba, opravy</t>
  </si>
  <si>
    <t>Poistné</t>
  </si>
  <si>
    <t>Prepravné a prenájom doprav.prostr.</t>
  </si>
  <si>
    <t>Karty,známky,poplatky</t>
  </si>
  <si>
    <t>Pracovné odev,obuv,prac.pom.</t>
  </si>
  <si>
    <t>Dopravné</t>
  </si>
  <si>
    <t>Výpočtovej techniky</t>
  </si>
  <si>
    <t>Telekomunikačnej techniky</t>
  </si>
  <si>
    <t>Prevádz.strojov,pr.,zariadení</t>
  </si>
  <si>
    <t>Špecial.strojov,prístrojov a zariadení</t>
  </si>
  <si>
    <t>Budov,priestorov a objektov</t>
  </si>
  <si>
    <t>Rutinná a štand. údržba</t>
  </si>
  <si>
    <t>Nájomné za prenájom</t>
  </si>
  <si>
    <t>Školenia, kurzy,semináre</t>
  </si>
  <si>
    <t>Propragácia,reklamy,inzercia</t>
  </si>
  <si>
    <t>Všeobecné služby</t>
  </si>
  <si>
    <t>Špeciálne služby</t>
  </si>
  <si>
    <t>Náhrady</t>
  </si>
  <si>
    <t>Náhrada mzdy a platu</t>
  </si>
  <si>
    <t>Štúdie,expertízy,posudky</t>
  </si>
  <si>
    <t>Poplatky,odvody,dane a clá</t>
  </si>
  <si>
    <t>Stravovanie</t>
  </si>
  <si>
    <t>Prídel do sociálneho fondu</t>
  </si>
  <si>
    <t>Kolkové známky</t>
  </si>
  <si>
    <t>Odmeny na základe DOVP</t>
  </si>
  <si>
    <t>Preddavky na rozpočtové výdavky</t>
  </si>
  <si>
    <t>Mylné platby</t>
  </si>
  <si>
    <t>Dane</t>
  </si>
  <si>
    <t>Tovary a ďalšie služby</t>
  </si>
  <si>
    <t>Odstupné</t>
  </si>
  <si>
    <t>Odchodné</t>
  </si>
  <si>
    <t>Na náhrady</t>
  </si>
  <si>
    <t>Bežné transféry</t>
  </si>
  <si>
    <t>BEŽNÉ VÝDAVKY SPOLU</t>
  </si>
  <si>
    <t>ĆERPANIE  BEŽNÝCH VÝDAVKOV SOI</t>
  </si>
  <si>
    <t>program 07L03</t>
  </si>
  <si>
    <t>tabuľka 13</t>
  </si>
  <si>
    <t>Rozpočet rok 2008</t>
  </si>
  <si>
    <t>Školenia,kurzy,semináre</t>
  </si>
  <si>
    <t>Bežné výdavky spolu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</si>
</sst>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[$-41B]d\.\ mmmm\ yyyy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0.0"/>
    <numFmt numFmtId="201" formatCode="0.0%"/>
    <numFmt numFmtId="202" formatCode="0;[Red]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11"/>
      <name val="Arial CE"/>
      <family val="0"/>
    </font>
    <font>
      <sz val="11"/>
      <name val="Arial"/>
      <family val="0"/>
    </font>
    <font>
      <b/>
      <i/>
      <sz val="11"/>
      <name val="Arial CE"/>
      <family val="0"/>
    </font>
    <font>
      <b/>
      <sz val="20"/>
      <name val="Arial CE"/>
      <family val="0"/>
    </font>
    <font>
      <b/>
      <sz val="13"/>
      <name val="Arial CE"/>
      <family val="0"/>
    </font>
    <font>
      <i/>
      <sz val="10"/>
      <name val="Arial CE"/>
      <family val="0"/>
    </font>
    <font>
      <b/>
      <sz val="16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1"/>
      <name val="Arial CE"/>
      <family val="2"/>
    </font>
    <font>
      <b/>
      <i/>
      <sz val="11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2"/>
      <name val="Arial"/>
      <family val="0"/>
    </font>
    <font>
      <b/>
      <i/>
      <sz val="16"/>
      <name val="Arial CE"/>
      <family val="2"/>
    </font>
    <font>
      <i/>
      <sz val="16"/>
      <name val="Arial CE"/>
      <family val="0"/>
    </font>
  </fonts>
  <fills count="2">
    <fill>
      <patternFill/>
    </fill>
    <fill>
      <patternFill patternType="gray125"/>
    </fill>
  </fills>
  <borders count="158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ck"/>
    </border>
    <border>
      <left style="double"/>
      <right style="thin"/>
      <top style="double"/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0" xfId="0" applyFont="1" applyAlignment="1">
      <alignment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" fontId="16" fillId="0" borderId="23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1" fontId="16" fillId="0" borderId="23" xfId="0" applyNumberFormat="1" applyFont="1" applyBorder="1" applyAlignment="1">
      <alignment/>
    </xf>
    <xf numFmtId="0" fontId="16" fillId="0" borderId="23" xfId="0" applyFont="1" applyBorder="1" applyAlignment="1">
      <alignment/>
    </xf>
    <xf numFmtId="4" fontId="16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6" fillId="0" borderId="26" xfId="0" applyNumberFormat="1" applyFont="1" applyBorder="1" applyAlignment="1">
      <alignment/>
    </xf>
    <xf numFmtId="2" fontId="16" fillId="0" borderId="26" xfId="0" applyNumberFormat="1" applyFont="1" applyBorder="1" applyAlignment="1">
      <alignment/>
    </xf>
    <xf numFmtId="1" fontId="16" fillId="0" borderId="26" xfId="0" applyNumberFormat="1" applyFont="1" applyBorder="1" applyAlignment="1">
      <alignment/>
    </xf>
    <xf numFmtId="0" fontId="16" fillId="0" borderId="26" xfId="0" applyFont="1" applyBorder="1" applyAlignment="1">
      <alignment/>
    </xf>
    <xf numFmtId="4" fontId="16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7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20">
      <alignment/>
      <protection/>
    </xf>
    <xf numFmtId="0" fontId="18" fillId="0" borderId="0" xfId="20" applyFont="1">
      <alignment/>
      <protection/>
    </xf>
    <xf numFmtId="0" fontId="8" fillId="0" borderId="0" xfId="20" applyFont="1">
      <alignment/>
      <protection/>
    </xf>
    <xf numFmtId="0" fontId="19" fillId="0" borderId="28" xfId="20" applyFont="1" applyBorder="1">
      <alignment/>
      <protection/>
    </xf>
    <xf numFmtId="3" fontId="4" fillId="0" borderId="29" xfId="20" applyNumberFormat="1" applyFont="1" applyBorder="1" applyAlignment="1">
      <alignment horizontal="right"/>
      <protection/>
    </xf>
    <xf numFmtId="3" fontId="4" fillId="0" borderId="30" xfId="20" applyNumberFormat="1" applyFont="1" applyBorder="1" applyAlignment="1">
      <alignment horizontal="right"/>
      <protection/>
    </xf>
    <xf numFmtId="3" fontId="8" fillId="0" borderId="30" xfId="20" applyNumberFormat="1" applyFont="1" applyBorder="1" applyAlignment="1">
      <alignment horizontal="right"/>
      <protection/>
    </xf>
    <xf numFmtId="4" fontId="8" fillId="0" borderId="30" xfId="20" applyNumberFormat="1" applyFont="1" applyBorder="1" applyAlignment="1">
      <alignment horizontal="right"/>
      <protection/>
    </xf>
    <xf numFmtId="4" fontId="20" fillId="0" borderId="31" xfId="20" applyNumberFormat="1" applyFont="1" applyBorder="1" applyAlignment="1">
      <alignment horizontal="right"/>
      <protection/>
    </xf>
    <xf numFmtId="3" fontId="4" fillId="0" borderId="2" xfId="20" applyNumberFormat="1" applyFont="1" applyBorder="1" applyAlignment="1">
      <alignment horizontal="right"/>
      <protection/>
    </xf>
    <xf numFmtId="3" fontId="8" fillId="0" borderId="2" xfId="20" applyNumberFormat="1" applyFont="1" applyBorder="1" applyAlignment="1">
      <alignment horizontal="right"/>
      <protection/>
    </xf>
    <xf numFmtId="4" fontId="8" fillId="0" borderId="2" xfId="20" applyNumberFormat="1" applyFont="1" applyBorder="1" applyAlignment="1">
      <alignment horizontal="right"/>
      <protection/>
    </xf>
    <xf numFmtId="0" fontId="19" fillId="0" borderId="32" xfId="20" applyFont="1" applyBorder="1">
      <alignment/>
      <protection/>
    </xf>
    <xf numFmtId="0" fontId="19" fillId="0" borderId="33" xfId="20" applyFont="1" applyBorder="1">
      <alignment/>
      <protection/>
    </xf>
    <xf numFmtId="3" fontId="4" fillId="0" borderId="23" xfId="20" applyNumberFormat="1" applyFont="1" applyBorder="1" applyAlignment="1">
      <alignment horizontal="right"/>
      <protection/>
    </xf>
    <xf numFmtId="3" fontId="4" fillId="0" borderId="26" xfId="20" applyNumberFormat="1" applyFont="1" applyBorder="1" applyAlignment="1">
      <alignment horizontal="right"/>
      <protection/>
    </xf>
    <xf numFmtId="3" fontId="8" fillId="0" borderId="26" xfId="20" applyNumberFormat="1" applyFont="1" applyBorder="1" applyAlignment="1">
      <alignment horizontal="right"/>
      <protection/>
    </xf>
    <xf numFmtId="4" fontId="8" fillId="0" borderId="26" xfId="20" applyNumberFormat="1" applyFont="1" applyBorder="1" applyAlignment="1">
      <alignment horizontal="right"/>
      <protection/>
    </xf>
    <xf numFmtId="0" fontId="13" fillId="0" borderId="34" xfId="20" applyFont="1" applyBorder="1">
      <alignment/>
      <protection/>
    </xf>
    <xf numFmtId="3" fontId="15" fillId="0" borderId="35" xfId="20" applyNumberFormat="1" applyFont="1" applyBorder="1" applyAlignment="1">
      <alignment horizontal="right"/>
      <protection/>
    </xf>
    <xf numFmtId="4" fontId="15" fillId="0" borderId="35" xfId="20" applyNumberFormat="1" applyFont="1" applyBorder="1" applyAlignment="1">
      <alignment horizontal="center"/>
      <protection/>
    </xf>
    <xf numFmtId="4" fontId="15" fillId="0" borderId="36" xfId="20" applyNumberFormat="1" applyFont="1" applyBorder="1" applyAlignment="1">
      <alignment horizontal="center"/>
      <protection/>
    </xf>
    <xf numFmtId="3" fontId="4" fillId="0" borderId="0" xfId="20" applyNumberFormat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6" fillId="0" borderId="32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2" fontId="26" fillId="0" borderId="41" xfId="0" applyNumberFormat="1" applyFont="1" applyBorder="1" applyAlignment="1">
      <alignment/>
    </xf>
    <xf numFmtId="0" fontId="6" fillId="0" borderId="28" xfId="0" applyFont="1" applyBorder="1" applyAlignment="1">
      <alignment/>
    </xf>
    <xf numFmtId="3" fontId="26" fillId="0" borderId="42" xfId="0" applyNumberFormat="1" applyFont="1" applyBorder="1" applyAlignment="1">
      <alignment/>
    </xf>
    <xf numFmtId="4" fontId="26" fillId="0" borderId="42" xfId="0" applyNumberFormat="1" applyFont="1" applyBorder="1" applyAlignment="1">
      <alignment/>
    </xf>
    <xf numFmtId="2" fontId="26" fillId="0" borderId="43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42" xfId="0" applyNumberFormat="1" applyFont="1" applyBorder="1" applyAlignment="1">
      <alignment/>
    </xf>
    <xf numFmtId="4" fontId="17" fillId="0" borderId="42" xfId="0" applyNumberFormat="1" applyFont="1" applyBorder="1" applyAlignment="1">
      <alignment/>
    </xf>
    <xf numFmtId="2" fontId="17" fillId="0" borderId="43" xfId="0" applyNumberFormat="1" applyFont="1" applyBorder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44" xfId="0" applyFont="1" applyBorder="1" applyAlignment="1">
      <alignment/>
    </xf>
    <xf numFmtId="3" fontId="17" fillId="0" borderId="45" xfId="0" applyNumberFormat="1" applyFont="1" applyBorder="1" applyAlignment="1">
      <alignment/>
    </xf>
    <xf numFmtId="4" fontId="17" fillId="0" borderId="45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28" xfId="0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3" fontId="17" fillId="0" borderId="48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8" fillId="0" borderId="0" xfId="0" applyFont="1" applyAlignment="1">
      <alignment/>
    </xf>
    <xf numFmtId="3" fontId="26" fillId="0" borderId="50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4" fontId="26" fillId="0" borderId="50" xfId="0" applyNumberFormat="1" applyFont="1" applyBorder="1" applyAlignment="1">
      <alignment/>
    </xf>
    <xf numFmtId="4" fontId="26" fillId="0" borderId="52" xfId="0" applyNumberFormat="1" applyFont="1" applyBorder="1" applyAlignment="1">
      <alignment/>
    </xf>
    <xf numFmtId="2" fontId="26" fillId="0" borderId="40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3" fontId="17" fillId="0" borderId="53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21">
      <alignment/>
      <protection/>
    </xf>
    <xf numFmtId="0" fontId="13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55" xfId="21" applyFont="1" applyBorder="1" applyAlignment="1">
      <alignment horizontal="center" vertical="center"/>
      <protection/>
    </xf>
    <xf numFmtId="0" fontId="31" fillId="0" borderId="37" xfId="21" applyFont="1" applyBorder="1" applyAlignment="1">
      <alignment horizontal="center" vertical="center"/>
      <protection/>
    </xf>
    <xf numFmtId="0" fontId="31" fillId="0" borderId="56" xfId="21" applyFont="1" applyBorder="1" applyAlignment="1">
      <alignment horizontal="center" vertical="center"/>
      <protection/>
    </xf>
    <xf numFmtId="0" fontId="7" fillId="0" borderId="57" xfId="21" applyFont="1" applyBorder="1" applyAlignment="1">
      <alignment shrinkToFit="1"/>
      <protection/>
    </xf>
    <xf numFmtId="0" fontId="4" fillId="0" borderId="23" xfId="21" applyBorder="1">
      <alignment/>
      <protection/>
    </xf>
    <xf numFmtId="0" fontId="32" fillId="0" borderId="23" xfId="21" applyFont="1" applyBorder="1">
      <alignment/>
      <protection/>
    </xf>
    <xf numFmtId="2" fontId="32" fillId="0" borderId="23" xfId="21" applyNumberFormat="1" applyFont="1" applyBorder="1">
      <alignment/>
      <protection/>
    </xf>
    <xf numFmtId="0" fontId="4" fillId="0" borderId="58" xfId="21" applyBorder="1">
      <alignment/>
      <protection/>
    </xf>
    <xf numFmtId="0" fontId="24" fillId="0" borderId="59" xfId="21" applyFont="1" applyBorder="1">
      <alignment/>
      <protection/>
    </xf>
    <xf numFmtId="0" fontId="24" fillId="0" borderId="2" xfId="21" applyFont="1" applyBorder="1" applyAlignment="1">
      <alignment horizontal="center"/>
      <protection/>
    </xf>
    <xf numFmtId="2" fontId="24" fillId="0" borderId="2" xfId="21" applyNumberFormat="1" applyFont="1" applyBorder="1" applyAlignment="1">
      <alignment/>
      <protection/>
    </xf>
    <xf numFmtId="0" fontId="24" fillId="0" borderId="60" xfId="21" applyFont="1" applyBorder="1" applyAlignment="1">
      <alignment horizontal="center"/>
      <protection/>
    </xf>
    <xf numFmtId="0" fontId="24" fillId="0" borderId="59" xfId="21" applyFont="1" applyBorder="1" applyAlignment="1">
      <alignment wrapText="1"/>
      <protection/>
    </xf>
    <xf numFmtId="0" fontId="8" fillId="0" borderId="59" xfId="21" applyFont="1" applyBorder="1">
      <alignment/>
      <protection/>
    </xf>
    <xf numFmtId="0" fontId="25" fillId="0" borderId="2" xfId="21" applyFont="1" applyBorder="1" applyAlignment="1">
      <alignment horizontal="center"/>
      <protection/>
    </xf>
    <xf numFmtId="2" fontId="25" fillId="0" borderId="2" xfId="21" applyNumberFormat="1" applyFont="1" applyBorder="1" applyAlignment="1">
      <alignment horizontal="right"/>
      <protection/>
    </xf>
    <xf numFmtId="0" fontId="25" fillId="0" borderId="60" xfId="21" applyFont="1" applyBorder="1" applyAlignment="1">
      <alignment horizontal="center"/>
      <protection/>
    </xf>
    <xf numFmtId="0" fontId="4" fillId="0" borderId="2" xfId="21" applyBorder="1" applyAlignment="1">
      <alignment horizontal="center"/>
      <protection/>
    </xf>
    <xf numFmtId="0" fontId="4" fillId="0" borderId="2" xfId="21" applyBorder="1">
      <alignment/>
      <protection/>
    </xf>
    <xf numFmtId="2" fontId="32" fillId="0" borderId="2" xfId="21" applyNumberFormat="1" applyFont="1" applyBorder="1" applyAlignment="1">
      <alignment horizontal="center"/>
      <protection/>
    </xf>
    <xf numFmtId="0" fontId="4" fillId="0" borderId="60" xfId="21" applyBorder="1">
      <alignment/>
      <protection/>
    </xf>
    <xf numFmtId="2" fontId="24" fillId="0" borderId="2" xfId="21" applyNumberFormat="1" applyFont="1" applyBorder="1" applyAlignment="1">
      <alignment horizontal="right"/>
      <protection/>
    </xf>
    <xf numFmtId="0" fontId="24" fillId="0" borderId="57" xfId="21" applyFont="1" applyBorder="1">
      <alignment/>
      <protection/>
    </xf>
    <xf numFmtId="0" fontId="24" fillId="0" borderId="23" xfId="21" applyFont="1" applyBorder="1" applyAlignment="1">
      <alignment horizontal="center"/>
      <protection/>
    </xf>
    <xf numFmtId="2" fontId="24" fillId="0" borderId="23" xfId="21" applyNumberFormat="1" applyFont="1" applyBorder="1" applyAlignment="1">
      <alignment horizontal="right"/>
      <protection/>
    </xf>
    <xf numFmtId="0" fontId="24" fillId="0" borderId="58" xfId="21" applyFont="1" applyBorder="1" applyAlignment="1">
      <alignment horizontal="center"/>
      <protection/>
    </xf>
    <xf numFmtId="0" fontId="4" fillId="0" borderId="0" xfId="21" applyFont="1">
      <alignment/>
      <protection/>
    </xf>
    <xf numFmtId="2" fontId="24" fillId="0" borderId="23" xfId="21" applyNumberFormat="1" applyFont="1" applyBorder="1" applyAlignment="1">
      <alignment horizontal="center"/>
      <protection/>
    </xf>
    <xf numFmtId="0" fontId="8" fillId="0" borderId="57" xfId="21" applyFont="1" applyBorder="1">
      <alignment/>
      <protection/>
    </xf>
    <xf numFmtId="0" fontId="25" fillId="0" borderId="23" xfId="21" applyFont="1" applyBorder="1" applyAlignment="1">
      <alignment horizontal="center"/>
      <protection/>
    </xf>
    <xf numFmtId="2" fontId="25" fillId="0" borderId="23" xfId="21" applyNumberFormat="1" applyFont="1" applyBorder="1" applyAlignment="1">
      <alignment horizontal="right"/>
      <protection/>
    </xf>
    <xf numFmtId="0" fontId="25" fillId="0" borderId="58" xfId="21" applyFont="1" applyBorder="1" applyAlignment="1">
      <alignment horizontal="center"/>
      <protection/>
    </xf>
    <xf numFmtId="2" fontId="32" fillId="0" borderId="2" xfId="21" applyNumberFormat="1" applyFont="1" applyBorder="1">
      <alignment/>
      <protection/>
    </xf>
    <xf numFmtId="0" fontId="7" fillId="0" borderId="61" xfId="21" applyFont="1" applyBorder="1">
      <alignment/>
      <protection/>
    </xf>
    <xf numFmtId="0" fontId="7" fillId="0" borderId="62" xfId="21" applyFont="1" applyBorder="1" applyAlignment="1">
      <alignment horizontal="center"/>
      <protection/>
    </xf>
    <xf numFmtId="2" fontId="7" fillId="0" borderId="63" xfId="21" applyNumberFormat="1" applyFont="1" applyBorder="1" applyAlignment="1">
      <alignment horizontal="right"/>
      <protection/>
    </xf>
    <xf numFmtId="0" fontId="7" fillId="0" borderId="62" xfId="21" applyFont="1" applyBorder="1">
      <alignment/>
      <protection/>
    </xf>
    <xf numFmtId="0" fontId="6" fillId="0" borderId="64" xfId="21" applyFont="1" applyBorder="1" applyAlignment="1">
      <alignment horizontal="center"/>
      <protection/>
    </xf>
    <xf numFmtId="0" fontId="5" fillId="0" borderId="0" xfId="21" applyFont="1">
      <alignment/>
      <protection/>
    </xf>
    <xf numFmtId="2" fontId="32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19" fillId="0" borderId="0" xfId="0" applyFont="1" applyAlignment="1">
      <alignment/>
    </xf>
    <xf numFmtId="0" fontId="6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0" fillId="0" borderId="1" xfId="0" applyBorder="1" applyAlignment="1">
      <alignment/>
    </xf>
    <xf numFmtId="0" fontId="3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76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8" xfId="0" applyFont="1" applyBorder="1" applyAlignment="1">
      <alignment horizontal="right"/>
    </xf>
    <xf numFmtId="0" fontId="5" fillId="0" borderId="80" xfId="0" applyFont="1" applyBorder="1" applyAlignment="1">
      <alignment/>
    </xf>
    <xf numFmtId="0" fontId="7" fillId="0" borderId="77" xfId="0" applyFont="1" applyBorder="1" applyAlignment="1">
      <alignment/>
    </xf>
    <xf numFmtId="3" fontId="7" fillId="0" borderId="78" xfId="0" applyNumberFormat="1" applyFont="1" applyBorder="1" applyAlignment="1">
      <alignment/>
    </xf>
    <xf numFmtId="0" fontId="7" fillId="0" borderId="81" xfId="0" applyFont="1" applyBorder="1" applyAlignment="1">
      <alignment/>
    </xf>
    <xf numFmtId="3" fontId="7" fillId="0" borderId="82" xfId="0" applyNumberFormat="1" applyFont="1" applyBorder="1" applyAlignment="1">
      <alignment/>
    </xf>
    <xf numFmtId="0" fontId="7" fillId="0" borderId="83" xfId="0" applyFont="1" applyBorder="1" applyAlignment="1">
      <alignment/>
    </xf>
    <xf numFmtId="3" fontId="7" fillId="0" borderId="81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8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7" fillId="0" borderId="34" xfId="0" applyFont="1" applyBorder="1" applyAlignment="1">
      <alignment/>
    </xf>
    <xf numFmtId="1" fontId="7" fillId="0" borderId="53" xfId="0" applyNumberFormat="1" applyFont="1" applyBorder="1" applyAlignment="1">
      <alignment/>
    </xf>
    <xf numFmtId="1" fontId="7" fillId="0" borderId="85" xfId="0" applyNumberFormat="1" applyFont="1" applyBorder="1" applyAlignment="1">
      <alignment/>
    </xf>
    <xf numFmtId="1" fontId="7" fillId="0" borderId="86" xfId="0" applyNumberFormat="1" applyFont="1" applyBorder="1" applyAlignment="1">
      <alignment/>
    </xf>
    <xf numFmtId="1" fontId="7" fillId="0" borderId="54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4" fillId="0" borderId="69" xfId="0" applyFont="1" applyBorder="1" applyAlignment="1">
      <alignment horizontal="center"/>
    </xf>
    <xf numFmtId="0" fontId="3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0" fontId="34" fillId="0" borderId="71" xfId="0" applyFont="1" applyBorder="1" applyAlignment="1">
      <alignment/>
    </xf>
    <xf numFmtId="0" fontId="34" fillId="0" borderId="74" xfId="0" applyFont="1" applyBorder="1" applyAlignment="1">
      <alignment/>
    </xf>
    <xf numFmtId="0" fontId="5" fillId="0" borderId="89" xfId="0" applyFont="1" applyBorder="1" applyAlignment="1">
      <alignment/>
    </xf>
    <xf numFmtId="0" fontId="34" fillId="0" borderId="78" xfId="0" applyFont="1" applyBorder="1" applyAlignment="1">
      <alignment/>
    </xf>
    <xf numFmtId="0" fontId="34" fillId="0" borderId="80" xfId="0" applyFont="1" applyBorder="1" applyAlignment="1">
      <alignment/>
    </xf>
    <xf numFmtId="0" fontId="7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9" fillId="0" borderId="92" xfId="0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0" fontId="9" fillId="0" borderId="94" xfId="0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0" fontId="9" fillId="0" borderId="97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95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95" xfId="0" applyFont="1" applyBorder="1" applyAlignment="1">
      <alignment horizontal="right"/>
    </xf>
    <xf numFmtId="0" fontId="9" fillId="0" borderId="98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94" xfId="0" applyFont="1" applyBorder="1" applyAlignment="1">
      <alignment horizontal="right"/>
    </xf>
    <xf numFmtId="0" fontId="6" fillId="0" borderId="100" xfId="0" applyFont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96" xfId="0" applyFont="1" applyBorder="1" applyAlignment="1">
      <alignment/>
    </xf>
    <xf numFmtId="0" fontId="9" fillId="0" borderId="101" xfId="0" applyFont="1" applyBorder="1" applyAlignment="1">
      <alignment/>
    </xf>
    <xf numFmtId="2" fontId="6" fillId="0" borderId="98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0" fontId="9" fillId="0" borderId="104" xfId="0" applyFont="1" applyBorder="1" applyAlignment="1">
      <alignment/>
    </xf>
    <xf numFmtId="3" fontId="6" fillId="0" borderId="104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71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106" xfId="0" applyFont="1" applyBorder="1" applyAlignment="1">
      <alignment/>
    </xf>
    <xf numFmtId="3" fontId="5" fillId="0" borderId="106" xfId="0" applyNumberFormat="1" applyFont="1" applyBorder="1" applyAlignment="1">
      <alignment/>
    </xf>
    <xf numFmtId="0" fontId="5" fillId="0" borderId="10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22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107" xfId="22" applyFont="1" applyBorder="1" applyAlignment="1">
      <alignment horizontal="center"/>
      <protection/>
    </xf>
    <xf numFmtId="0" fontId="6" fillId="0" borderId="108" xfId="22" applyFont="1" applyBorder="1" applyAlignment="1">
      <alignment horizontal="center"/>
      <protection/>
    </xf>
    <xf numFmtId="0" fontId="6" fillId="0" borderId="109" xfId="22" applyFont="1" applyBorder="1" applyAlignment="1">
      <alignment horizontal="center"/>
      <protection/>
    </xf>
    <xf numFmtId="0" fontId="6" fillId="0" borderId="110" xfId="22" applyFont="1" applyBorder="1" applyAlignment="1">
      <alignment horizontal="center"/>
      <protection/>
    </xf>
    <xf numFmtId="0" fontId="6" fillId="0" borderId="19" xfId="22" applyFont="1" applyBorder="1" applyAlignment="1">
      <alignment horizontal="center"/>
      <protection/>
    </xf>
    <xf numFmtId="0" fontId="6" fillId="0" borderId="111" xfId="22" applyFont="1" applyBorder="1" applyAlignment="1">
      <alignment horizontal="center"/>
      <protection/>
    </xf>
    <xf numFmtId="3" fontId="6" fillId="0" borderId="42" xfId="22" applyNumberFormat="1" applyFont="1" applyBorder="1" applyAlignment="1">
      <alignment horizontal="center"/>
      <protection/>
    </xf>
    <xf numFmtId="3" fontId="6" fillId="0" borderId="29" xfId="22" applyNumberFormat="1" applyFont="1" applyBorder="1" applyAlignment="1">
      <alignment horizontal="center"/>
      <protection/>
    </xf>
    <xf numFmtId="3" fontId="6" fillId="0" borderId="112" xfId="22" applyNumberFormat="1" applyFont="1" applyBorder="1" applyAlignment="1">
      <alignment horizontal="center"/>
      <protection/>
    </xf>
    <xf numFmtId="3" fontId="6" fillId="0" borderId="113" xfId="22" applyNumberFormat="1" applyFont="1" applyBorder="1" applyAlignment="1">
      <alignment horizontal="center"/>
      <protection/>
    </xf>
    <xf numFmtId="0" fontId="6" fillId="0" borderId="31" xfId="22" applyFont="1" applyBorder="1" applyAlignment="1">
      <alignment horizontal="center"/>
      <protection/>
    </xf>
    <xf numFmtId="3" fontId="6" fillId="0" borderId="10" xfId="22" applyNumberFormat="1" applyFont="1" applyBorder="1" applyAlignment="1">
      <alignment horizontal="center"/>
      <protection/>
    </xf>
    <xf numFmtId="3" fontId="6" fillId="0" borderId="2" xfId="22" applyNumberFormat="1" applyFont="1" applyBorder="1" applyAlignment="1">
      <alignment horizontal="center"/>
      <protection/>
    </xf>
    <xf numFmtId="3" fontId="6" fillId="0" borderId="114" xfId="22" applyNumberFormat="1" applyFont="1" applyBorder="1" applyAlignment="1">
      <alignment horizontal="center"/>
      <protection/>
    </xf>
    <xf numFmtId="3" fontId="6" fillId="0" borderId="45" xfId="22" applyNumberFormat="1" applyFont="1" applyBorder="1" applyAlignment="1">
      <alignment horizontal="center"/>
      <protection/>
    </xf>
    <xf numFmtId="0" fontId="6" fillId="0" borderId="6" xfId="22" applyFont="1" applyBorder="1" applyAlignment="1">
      <alignment horizontal="center"/>
      <protection/>
    </xf>
    <xf numFmtId="4" fontId="6" fillId="0" borderId="10" xfId="22" applyNumberFormat="1" applyFont="1" applyBorder="1" applyAlignment="1">
      <alignment horizontal="center"/>
      <protection/>
    </xf>
    <xf numFmtId="4" fontId="6" fillId="0" borderId="2" xfId="22" applyNumberFormat="1" applyFont="1" applyBorder="1" applyAlignment="1">
      <alignment horizontal="center"/>
      <protection/>
    </xf>
    <xf numFmtId="4" fontId="6" fillId="0" borderId="114" xfId="22" applyNumberFormat="1" applyFont="1" applyBorder="1" applyAlignment="1">
      <alignment horizontal="center"/>
      <protection/>
    </xf>
    <xf numFmtId="4" fontId="6" fillId="0" borderId="45" xfId="22" applyNumberFormat="1" applyFont="1" applyBorder="1" applyAlignment="1">
      <alignment horizontal="center"/>
      <protection/>
    </xf>
    <xf numFmtId="2" fontId="6" fillId="0" borderId="6" xfId="22" applyNumberFormat="1" applyFont="1" applyBorder="1" applyAlignment="1">
      <alignment horizontal="center"/>
      <protection/>
    </xf>
    <xf numFmtId="3" fontId="6" fillId="0" borderId="6" xfId="22" applyNumberFormat="1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45" xfId="22" applyFont="1" applyBorder="1" applyAlignment="1">
      <alignment horizontal="center"/>
      <protection/>
    </xf>
    <xf numFmtId="2" fontId="6" fillId="0" borderId="10" xfId="22" applyNumberFormat="1" applyFont="1" applyBorder="1" applyAlignment="1">
      <alignment horizontal="center"/>
      <protection/>
    </xf>
    <xf numFmtId="2" fontId="6" fillId="0" borderId="2" xfId="22" applyNumberFormat="1" applyFont="1" applyBorder="1" applyAlignment="1">
      <alignment horizontal="center"/>
      <protection/>
    </xf>
    <xf numFmtId="2" fontId="6" fillId="0" borderId="114" xfId="22" applyNumberFormat="1" applyFont="1" applyBorder="1" applyAlignment="1">
      <alignment horizontal="center"/>
      <protection/>
    </xf>
    <xf numFmtId="0" fontId="8" fillId="0" borderId="43" xfId="22" applyFont="1" applyBorder="1" applyAlignment="1">
      <alignment horizontal="left" vertical="center" wrapText="1"/>
      <protection/>
    </xf>
    <xf numFmtId="0" fontId="6" fillId="0" borderId="114" xfId="22" applyFont="1" applyBorder="1" applyAlignment="1">
      <alignment horizontal="center"/>
      <protection/>
    </xf>
    <xf numFmtId="0" fontId="8" fillId="0" borderId="41" xfId="22" applyFont="1" applyBorder="1" applyAlignment="1">
      <alignment wrapText="1"/>
      <protection/>
    </xf>
    <xf numFmtId="0" fontId="8" fillId="0" borderId="115" xfId="22" applyFont="1" applyBorder="1" applyAlignment="1">
      <alignment wrapText="1"/>
      <protection/>
    </xf>
    <xf numFmtId="3" fontId="6" fillId="0" borderId="116" xfId="22" applyNumberFormat="1" applyFont="1" applyBorder="1" applyAlignment="1">
      <alignment horizontal="center"/>
      <protection/>
    </xf>
    <xf numFmtId="3" fontId="6" fillId="0" borderId="3" xfId="22" applyNumberFormat="1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117" xfId="22" applyFont="1" applyBorder="1" applyAlignment="1">
      <alignment horizontal="center"/>
      <protection/>
    </xf>
    <xf numFmtId="0" fontId="6" fillId="0" borderId="118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24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3">
      <alignment/>
      <protection/>
    </xf>
    <xf numFmtId="0" fontId="6" fillId="0" borderId="0" xfId="23" applyFont="1">
      <alignment/>
      <protection/>
    </xf>
    <xf numFmtId="0" fontId="25" fillId="0" borderId="0" xfId="23" applyFont="1">
      <alignment/>
      <protection/>
    </xf>
    <xf numFmtId="0" fontId="9" fillId="0" borderId="0" xfId="23" applyFont="1">
      <alignment/>
      <protection/>
    </xf>
    <xf numFmtId="0" fontId="15" fillId="0" borderId="0" xfId="23" applyFont="1">
      <alignment/>
      <protection/>
    </xf>
    <xf numFmtId="0" fontId="4" fillId="0" borderId="0" xfId="23" applyAlignment="1">
      <alignment/>
      <protection/>
    </xf>
    <xf numFmtId="0" fontId="20" fillId="0" borderId="0" xfId="23" applyFont="1" applyAlignment="1">
      <alignment/>
      <protection/>
    </xf>
    <xf numFmtId="0" fontId="9" fillId="0" borderId="0" xfId="23" applyFont="1" applyAlignment="1">
      <alignment/>
      <protection/>
    </xf>
    <xf numFmtId="0" fontId="15" fillId="0" borderId="0" xfId="23" applyFont="1" applyAlignment="1">
      <alignment/>
      <protection/>
    </xf>
    <xf numFmtId="0" fontId="9" fillId="0" borderId="0" xfId="23" applyFont="1" applyAlignment="1">
      <alignment horizontal="center"/>
      <protection/>
    </xf>
    <xf numFmtId="0" fontId="25" fillId="0" borderId="0" xfId="23" applyFont="1" applyAlignment="1">
      <alignment/>
      <protection/>
    </xf>
    <xf numFmtId="0" fontId="4" fillId="0" borderId="0" xfId="23" applyAlignment="1">
      <alignment horizontal="center"/>
      <protection/>
    </xf>
    <xf numFmtId="0" fontId="8" fillId="0" borderId="0" xfId="23" applyFont="1">
      <alignment/>
      <protection/>
    </xf>
    <xf numFmtId="0" fontId="25" fillId="0" borderId="90" xfId="23" applyFont="1" applyBorder="1" applyAlignment="1">
      <alignment horizontal="left"/>
      <protection/>
    </xf>
    <xf numFmtId="0" fontId="4" fillId="0" borderId="90" xfId="23" applyFont="1" applyBorder="1" applyAlignment="1">
      <alignment horizontal="left"/>
      <protection/>
    </xf>
    <xf numFmtId="0" fontId="4" fillId="0" borderId="119" xfId="23" applyFont="1" applyBorder="1">
      <alignment/>
      <protection/>
    </xf>
    <xf numFmtId="0" fontId="25" fillId="0" borderId="120" xfId="23" applyFont="1" applyBorder="1">
      <alignment/>
      <protection/>
    </xf>
    <xf numFmtId="0" fontId="25" fillId="0" borderId="121" xfId="23" applyFont="1" applyBorder="1">
      <alignment/>
      <protection/>
    </xf>
    <xf numFmtId="3" fontId="4" fillId="0" borderId="90" xfId="23" applyNumberFormat="1" applyFont="1" applyBorder="1" applyAlignment="1">
      <alignment horizontal="right"/>
      <protection/>
    </xf>
    <xf numFmtId="201" fontId="4" fillId="0" borderId="90" xfId="23" applyNumberFormat="1" applyFont="1" applyBorder="1" applyAlignment="1">
      <alignment horizontal="right"/>
      <protection/>
    </xf>
    <xf numFmtId="0" fontId="25" fillId="0" borderId="37" xfId="23" applyFont="1" applyBorder="1" applyAlignment="1">
      <alignment horizontal="left"/>
      <protection/>
    </xf>
    <xf numFmtId="0" fontId="25" fillId="0" borderId="55" xfId="23" applyFont="1" applyBorder="1">
      <alignment/>
      <protection/>
    </xf>
    <xf numFmtId="0" fontId="25" fillId="0" borderId="122" xfId="23" applyFont="1" applyBorder="1">
      <alignment/>
      <protection/>
    </xf>
    <xf numFmtId="0" fontId="25" fillId="0" borderId="56" xfId="23" applyFont="1" applyBorder="1">
      <alignment/>
      <protection/>
    </xf>
    <xf numFmtId="3" fontId="25" fillId="0" borderId="37" xfId="23" applyNumberFormat="1" applyFont="1" applyBorder="1" applyAlignment="1">
      <alignment horizontal="right"/>
      <protection/>
    </xf>
    <xf numFmtId="201" fontId="25" fillId="0" borderId="90" xfId="23" applyNumberFormat="1" applyFont="1" applyBorder="1" applyAlignment="1">
      <alignment horizontal="right"/>
      <protection/>
    </xf>
    <xf numFmtId="0" fontId="4" fillId="0" borderId="123" xfId="23" applyBorder="1" applyAlignment="1">
      <alignment horizontal="left"/>
      <protection/>
    </xf>
    <xf numFmtId="0" fontId="4" fillId="0" borderId="124" xfId="23" applyBorder="1">
      <alignment/>
      <protection/>
    </xf>
    <xf numFmtId="0" fontId="4" fillId="0" borderId="0" xfId="23" applyBorder="1">
      <alignment/>
      <protection/>
    </xf>
    <xf numFmtId="0" fontId="4" fillId="0" borderId="125" xfId="23" applyBorder="1">
      <alignment/>
      <protection/>
    </xf>
    <xf numFmtId="3" fontId="4" fillId="0" borderId="123" xfId="23" applyNumberFormat="1" applyBorder="1" applyAlignment="1">
      <alignment horizontal="right"/>
      <protection/>
    </xf>
    <xf numFmtId="3" fontId="4" fillId="0" borderId="119" xfId="23" applyNumberFormat="1" applyFont="1" applyBorder="1" applyAlignment="1">
      <alignment horizontal="right"/>
      <protection/>
    </xf>
    <xf numFmtId="3" fontId="4" fillId="0" borderId="124" xfId="23" applyNumberFormat="1" applyFont="1" applyBorder="1" applyAlignment="1">
      <alignment horizontal="right"/>
      <protection/>
    </xf>
    <xf numFmtId="201" fontId="25" fillId="0" borderId="123" xfId="23" applyNumberFormat="1" applyFont="1" applyBorder="1" applyAlignment="1">
      <alignment horizontal="right"/>
      <protection/>
    </xf>
    <xf numFmtId="201" fontId="25" fillId="0" borderId="91" xfId="23" applyNumberFormat="1" applyFont="1" applyBorder="1" applyAlignment="1">
      <alignment horizontal="right"/>
      <protection/>
    </xf>
    <xf numFmtId="0" fontId="4" fillId="0" borderId="122" xfId="23" applyFont="1" applyBorder="1">
      <alignment/>
      <protection/>
    </xf>
    <xf numFmtId="0" fontId="4" fillId="0" borderId="56" xfId="23" applyFont="1" applyBorder="1">
      <alignment/>
      <protection/>
    </xf>
    <xf numFmtId="0" fontId="4" fillId="0" borderId="124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125" xfId="23" applyFont="1" applyBorder="1">
      <alignment/>
      <protection/>
    </xf>
    <xf numFmtId="201" fontId="4" fillId="0" borderId="37" xfId="23" applyNumberFormat="1" applyFont="1" applyBorder="1" applyAlignment="1">
      <alignment horizontal="right"/>
      <protection/>
    </xf>
    <xf numFmtId="3" fontId="25" fillId="0" borderId="37" xfId="23" applyNumberFormat="1" applyFont="1" applyBorder="1" applyAlignment="1">
      <alignment horizontal="right"/>
      <protection/>
    </xf>
    <xf numFmtId="201" fontId="25" fillId="0" borderId="125" xfId="23" applyNumberFormat="1" applyFont="1" applyBorder="1" applyAlignment="1">
      <alignment horizontal="right"/>
      <protection/>
    </xf>
    <xf numFmtId="0" fontId="25" fillId="0" borderId="123" xfId="23" applyFont="1" applyBorder="1" applyAlignment="1">
      <alignment horizontal="left"/>
      <protection/>
    </xf>
    <xf numFmtId="0" fontId="4" fillId="0" borderId="123" xfId="23" applyFont="1" applyBorder="1" applyAlignment="1">
      <alignment horizontal="left"/>
      <protection/>
    </xf>
    <xf numFmtId="3" fontId="4" fillId="0" borderId="123" xfId="23" applyNumberFormat="1" applyFont="1" applyBorder="1" applyAlignment="1">
      <alignment horizontal="right"/>
      <protection/>
    </xf>
    <xf numFmtId="3" fontId="4" fillId="0" borderId="123" xfId="23" applyNumberFormat="1" applyFont="1" applyBorder="1" applyAlignment="1">
      <alignment horizontal="right"/>
      <protection/>
    </xf>
    <xf numFmtId="0" fontId="25" fillId="0" borderId="91" xfId="23" applyFont="1" applyFill="1" applyBorder="1" applyAlignment="1">
      <alignment horizontal="left"/>
      <protection/>
    </xf>
    <xf numFmtId="0" fontId="4" fillId="0" borderId="91" xfId="23" applyBorder="1">
      <alignment/>
      <protection/>
    </xf>
    <xf numFmtId="0" fontId="25" fillId="0" borderId="126" xfId="23" applyFont="1" applyFill="1" applyBorder="1">
      <alignment/>
      <protection/>
    </xf>
    <xf numFmtId="0" fontId="4" fillId="0" borderId="126" xfId="23" applyBorder="1">
      <alignment/>
      <protection/>
    </xf>
    <xf numFmtId="0" fontId="4" fillId="0" borderId="127" xfId="23" applyBorder="1">
      <alignment/>
      <protection/>
    </xf>
    <xf numFmtId="3" fontId="25" fillId="0" borderId="127" xfId="23" applyNumberFormat="1" applyFont="1" applyBorder="1">
      <alignment/>
      <protection/>
    </xf>
    <xf numFmtId="201" fontId="25" fillId="0" borderId="37" xfId="23" applyNumberFormat="1" applyFont="1" applyBorder="1" applyAlignment="1">
      <alignment horizontal="right"/>
      <protection/>
    </xf>
    <xf numFmtId="3" fontId="4" fillId="0" borderId="0" xfId="23" applyNumberFormat="1">
      <alignment/>
      <protection/>
    </xf>
    <xf numFmtId="0" fontId="13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4" fillId="0" borderId="0" xfId="23" applyAlignment="1">
      <alignment horizontal="right"/>
      <protection/>
    </xf>
    <xf numFmtId="0" fontId="15" fillId="0" borderId="98" xfId="23" applyFont="1" applyBorder="1" applyAlignment="1">
      <alignment horizontal="left"/>
      <protection/>
    </xf>
    <xf numFmtId="0" fontId="15" fillId="0" borderId="128" xfId="23" applyFont="1" applyBorder="1" applyAlignment="1">
      <alignment horizontal="left"/>
      <protection/>
    </xf>
    <xf numFmtId="0" fontId="15" fillId="0" borderId="0" xfId="23" applyFont="1" applyBorder="1" applyAlignment="1">
      <alignment horizontal="left"/>
      <protection/>
    </xf>
    <xf numFmtId="3" fontId="15" fillId="0" borderId="129" xfId="23" applyNumberFormat="1" applyFont="1" applyBorder="1">
      <alignment/>
      <protection/>
    </xf>
    <xf numFmtId="3" fontId="15" fillId="0" borderId="130" xfId="23" applyNumberFormat="1" applyFont="1" applyBorder="1" applyAlignment="1">
      <alignment horizontal="right"/>
      <protection/>
    </xf>
    <xf numFmtId="201" fontId="9" fillId="0" borderId="131" xfId="23" applyNumberFormat="1" applyFont="1" applyBorder="1" applyAlignment="1">
      <alignment horizontal="right"/>
      <protection/>
    </xf>
    <xf numFmtId="0" fontId="15" fillId="0" borderId="97" xfId="23" applyFont="1" applyBorder="1" applyAlignment="1">
      <alignment horizontal="left"/>
      <protection/>
    </xf>
    <xf numFmtId="0" fontId="15" fillId="0" borderId="130" xfId="23" applyFont="1" applyBorder="1" applyAlignment="1">
      <alignment horizontal="left"/>
      <protection/>
    </xf>
    <xf numFmtId="0" fontId="15" fillId="0" borderId="122" xfId="23" applyFont="1" applyBorder="1" applyAlignment="1">
      <alignment horizontal="left"/>
      <protection/>
    </xf>
    <xf numFmtId="3" fontId="15" fillId="0" borderId="132" xfId="23" applyNumberFormat="1" applyFont="1" applyBorder="1">
      <alignment/>
      <protection/>
    </xf>
    <xf numFmtId="3" fontId="15" fillId="0" borderId="130" xfId="23" applyNumberFormat="1" applyFont="1" applyBorder="1">
      <alignment/>
      <protection/>
    </xf>
    <xf numFmtId="0" fontId="15" fillId="0" borderId="101" xfId="23" applyFont="1" applyBorder="1" applyAlignment="1">
      <alignment horizontal="left"/>
      <protection/>
    </xf>
    <xf numFmtId="0" fontId="15" fillId="0" borderId="133" xfId="23" applyFont="1" applyBorder="1" applyAlignment="1">
      <alignment horizontal="left"/>
      <protection/>
    </xf>
    <xf numFmtId="0" fontId="15" fillId="0" borderId="120" xfId="23" applyFont="1" applyBorder="1" applyAlignment="1">
      <alignment horizontal="left"/>
      <protection/>
    </xf>
    <xf numFmtId="3" fontId="15" fillId="0" borderId="134" xfId="23" applyNumberFormat="1" applyFont="1" applyBorder="1">
      <alignment/>
      <protection/>
    </xf>
    <xf numFmtId="3" fontId="15" fillId="0" borderId="133" xfId="23" applyNumberFormat="1" applyFont="1" applyBorder="1">
      <alignment/>
      <protection/>
    </xf>
    <xf numFmtId="201" fontId="9" fillId="0" borderId="135" xfId="23" applyNumberFormat="1" applyFont="1" applyBorder="1" applyAlignment="1">
      <alignment horizontal="right"/>
      <protection/>
    </xf>
    <xf numFmtId="0" fontId="15" fillId="0" borderId="119" xfId="23" applyFont="1" applyBorder="1" applyAlignment="1">
      <alignment horizontal="left"/>
      <protection/>
    </xf>
    <xf numFmtId="0" fontId="9" fillId="0" borderId="134" xfId="23" applyFont="1" applyBorder="1" applyAlignment="1">
      <alignment horizontal="left"/>
      <protection/>
    </xf>
    <xf numFmtId="3" fontId="9" fillId="0" borderId="134" xfId="23" applyNumberFormat="1" applyFont="1" applyBorder="1">
      <alignment/>
      <protection/>
    </xf>
    <xf numFmtId="0" fontId="9" fillId="0" borderId="133" xfId="23" applyFont="1" applyBorder="1">
      <alignment/>
      <protection/>
    </xf>
    <xf numFmtId="201" fontId="9" fillId="0" borderId="121" xfId="23" applyNumberFormat="1" applyFont="1" applyBorder="1" applyAlignment="1">
      <alignment horizontal="right"/>
      <protection/>
    </xf>
    <xf numFmtId="0" fontId="15" fillId="0" borderId="124" xfId="23" applyFont="1" applyBorder="1" applyAlignment="1">
      <alignment horizontal="left"/>
      <protection/>
    </xf>
    <xf numFmtId="0" fontId="9" fillId="0" borderId="129" xfId="23" applyFont="1" applyBorder="1" applyAlignment="1">
      <alignment horizontal="left"/>
      <protection/>
    </xf>
    <xf numFmtId="3" fontId="9" fillId="0" borderId="129" xfId="23" applyNumberFormat="1" applyFont="1" applyBorder="1">
      <alignment/>
      <protection/>
    </xf>
    <xf numFmtId="3" fontId="9" fillId="0" borderId="128" xfId="23" applyNumberFormat="1" applyFont="1" applyBorder="1">
      <alignment/>
      <protection/>
    </xf>
    <xf numFmtId="201" fontId="9" fillId="0" borderId="125" xfId="23" applyNumberFormat="1" applyFont="1" applyBorder="1" applyAlignment="1">
      <alignment horizontal="right"/>
      <protection/>
    </xf>
    <xf numFmtId="0" fontId="9" fillId="0" borderId="128" xfId="23" applyFont="1" applyBorder="1">
      <alignment/>
      <protection/>
    </xf>
    <xf numFmtId="0" fontId="15" fillId="0" borderId="136" xfId="23" applyFont="1" applyBorder="1" applyAlignment="1">
      <alignment horizontal="left"/>
      <protection/>
    </xf>
    <xf numFmtId="0" fontId="9" fillId="0" borderId="137" xfId="23" applyFont="1" applyBorder="1" applyAlignment="1">
      <alignment horizontal="left"/>
      <protection/>
    </xf>
    <xf numFmtId="3" fontId="9" fillId="0" borderId="137" xfId="23" applyNumberFormat="1" applyFont="1" applyBorder="1" applyAlignment="1">
      <alignment horizontal="right"/>
      <protection/>
    </xf>
    <xf numFmtId="3" fontId="9" fillId="0" borderId="63" xfId="23" applyNumberFormat="1" applyFont="1" applyBorder="1">
      <alignment/>
      <protection/>
    </xf>
    <xf numFmtId="201" fontId="9" fillId="0" borderId="127" xfId="23" applyNumberFormat="1" applyFont="1" applyBorder="1" applyAlignment="1">
      <alignment horizontal="right"/>
      <protection/>
    </xf>
    <xf numFmtId="202" fontId="15" fillId="0" borderId="134" xfId="23" applyNumberFormat="1" applyFont="1" applyBorder="1">
      <alignment/>
      <protection/>
    </xf>
    <xf numFmtId="201" fontId="9" fillId="0" borderId="37" xfId="23" applyNumberFormat="1" applyFont="1" applyBorder="1" applyAlignment="1">
      <alignment horizontal="right"/>
      <protection/>
    </xf>
    <xf numFmtId="0" fontId="9" fillId="0" borderId="133" xfId="23" applyFont="1" applyBorder="1" applyAlignment="1">
      <alignment horizontal="left"/>
      <protection/>
    </xf>
    <xf numFmtId="3" fontId="9" fillId="0" borderId="133" xfId="23" applyNumberFormat="1" applyFont="1" applyBorder="1">
      <alignment/>
      <protection/>
    </xf>
    <xf numFmtId="0" fontId="15" fillId="0" borderId="138" xfId="23" applyFont="1" applyBorder="1" applyAlignment="1">
      <alignment horizontal="left"/>
      <protection/>
    </xf>
    <xf numFmtId="0" fontId="9" fillId="0" borderId="63" xfId="23" applyFont="1" applyBorder="1" applyAlignment="1">
      <alignment horizontal="left"/>
      <protection/>
    </xf>
    <xf numFmtId="0" fontId="9" fillId="0" borderId="63" xfId="23" applyFont="1" applyBorder="1">
      <alignment/>
      <protection/>
    </xf>
    <xf numFmtId="201" fontId="9" fillId="0" borderId="56" xfId="23" applyNumberFormat="1" applyFont="1" applyBorder="1" applyAlignment="1">
      <alignment horizontal="right"/>
      <protection/>
    </xf>
    <xf numFmtId="0" fontId="9" fillId="0" borderId="139" xfId="23" applyFont="1" applyBorder="1" applyAlignment="1">
      <alignment horizontal="left"/>
      <protection/>
    </xf>
    <xf numFmtId="0" fontId="9" fillId="0" borderId="120" xfId="23" applyFont="1" applyBorder="1" applyAlignment="1">
      <alignment horizontal="left"/>
      <protection/>
    </xf>
    <xf numFmtId="0" fontId="9" fillId="0" borderId="52" xfId="23" applyFont="1" applyBorder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9" fillId="0" borderId="140" xfId="23" applyFont="1" applyBorder="1" applyAlignment="1">
      <alignment horizontal="left"/>
      <protection/>
    </xf>
    <xf numFmtId="0" fontId="9" fillId="0" borderId="126" xfId="23" applyFont="1" applyBorder="1" applyAlignment="1">
      <alignment horizontal="left"/>
      <protection/>
    </xf>
    <xf numFmtId="3" fontId="9" fillId="0" borderId="137" xfId="23" applyNumberFormat="1" applyFont="1" applyBorder="1">
      <alignment/>
      <protection/>
    </xf>
    <xf numFmtId="201" fontId="9" fillId="0" borderId="141" xfId="23" applyNumberFormat="1" applyFont="1" applyBorder="1" applyAlignment="1">
      <alignment horizontal="right"/>
      <protection/>
    </xf>
    <xf numFmtId="201" fontId="9" fillId="0" borderId="131" xfId="23" applyNumberFormat="1" applyFont="1" applyBorder="1" applyAlignment="1">
      <alignment horizontal="right"/>
      <protection/>
    </xf>
    <xf numFmtId="0" fontId="4" fillId="0" borderId="101" xfId="23" applyBorder="1">
      <alignment/>
      <protection/>
    </xf>
    <xf numFmtId="0" fontId="4" fillId="0" borderId="98" xfId="23" applyBorder="1">
      <alignment/>
      <protection/>
    </xf>
    <xf numFmtId="0" fontId="4" fillId="0" borderId="138" xfId="23" applyBorder="1">
      <alignment/>
      <protection/>
    </xf>
    <xf numFmtId="0" fontId="9" fillId="0" borderId="101" xfId="23" applyFont="1" applyBorder="1">
      <alignment/>
      <protection/>
    </xf>
    <xf numFmtId="201" fontId="9" fillId="0" borderId="121" xfId="23" applyNumberFormat="1" applyFont="1" applyBorder="1">
      <alignment/>
      <protection/>
    </xf>
    <xf numFmtId="0" fontId="9" fillId="0" borderId="98" xfId="23" applyFont="1" applyBorder="1">
      <alignment/>
      <protection/>
    </xf>
    <xf numFmtId="0" fontId="9" fillId="0" borderId="128" xfId="23" applyFont="1" applyBorder="1" applyAlignment="1">
      <alignment horizontal="left"/>
      <protection/>
    </xf>
    <xf numFmtId="201" fontId="9" fillId="0" borderId="125" xfId="23" applyNumberFormat="1" applyFont="1" applyBorder="1">
      <alignment/>
      <protection/>
    </xf>
    <xf numFmtId="201" fontId="9" fillId="0" borderId="127" xfId="23" applyNumberFormat="1" applyFont="1" applyBorder="1">
      <alignment/>
      <protection/>
    </xf>
    <xf numFmtId="0" fontId="15" fillId="0" borderId="83" xfId="23" applyFont="1" applyBorder="1" applyAlignment="1">
      <alignment horizontal="left"/>
      <protection/>
    </xf>
    <xf numFmtId="201" fontId="9" fillId="0" borderId="131" xfId="23" applyNumberFormat="1" applyFont="1" applyBorder="1">
      <alignment/>
      <protection/>
    </xf>
    <xf numFmtId="3" fontId="4" fillId="0" borderId="134" xfId="23" applyNumberFormat="1" applyFont="1" applyBorder="1">
      <alignment/>
      <protection/>
    </xf>
    <xf numFmtId="201" fontId="9" fillId="0" borderId="135" xfId="23" applyNumberFormat="1" applyFont="1" applyBorder="1">
      <alignment/>
      <protection/>
    </xf>
    <xf numFmtId="0" fontId="9" fillId="0" borderId="129" xfId="23" applyFont="1" applyBorder="1">
      <alignment/>
      <protection/>
    </xf>
    <xf numFmtId="201" fontId="9" fillId="0" borderId="142" xfId="23" applyNumberFormat="1" applyFont="1" applyBorder="1">
      <alignment/>
      <protection/>
    </xf>
    <xf numFmtId="3" fontId="4" fillId="0" borderId="129" xfId="23" applyNumberFormat="1" applyFont="1" applyBorder="1">
      <alignment/>
      <protection/>
    </xf>
    <xf numFmtId="0" fontId="9" fillId="0" borderId="124" xfId="23" applyFont="1" applyBorder="1">
      <alignment/>
      <protection/>
    </xf>
    <xf numFmtId="3" fontId="9" fillId="0" borderId="0" xfId="23" applyNumberFormat="1" applyFont="1" applyBorder="1">
      <alignment/>
      <protection/>
    </xf>
    <xf numFmtId="0" fontId="9" fillId="0" borderId="138" xfId="23" applyFont="1" applyBorder="1">
      <alignment/>
      <protection/>
    </xf>
    <xf numFmtId="0" fontId="9" fillId="0" borderId="137" xfId="23" applyFont="1" applyBorder="1">
      <alignment/>
      <protection/>
    </xf>
    <xf numFmtId="201" fontId="9" fillId="0" borderId="141" xfId="23" applyNumberFormat="1" applyFont="1" applyBorder="1">
      <alignment/>
      <protection/>
    </xf>
    <xf numFmtId="0" fontId="15" fillId="0" borderId="63" xfId="23" applyFont="1" applyBorder="1" applyAlignment="1">
      <alignment horizontal="left"/>
      <protection/>
    </xf>
    <xf numFmtId="3" fontId="15" fillId="0" borderId="137" xfId="23" applyNumberFormat="1" applyFont="1" applyBorder="1">
      <alignment/>
      <protection/>
    </xf>
    <xf numFmtId="0" fontId="15" fillId="0" borderId="55" xfId="23" applyFont="1" applyBorder="1" applyAlignment="1">
      <alignment horizontal="left"/>
      <protection/>
    </xf>
    <xf numFmtId="0" fontId="9" fillId="0" borderId="0" xfId="23" applyFont="1" applyAlignment="1">
      <alignment horizontal="center"/>
      <protection/>
    </xf>
    <xf numFmtId="0" fontId="9" fillId="0" borderId="0" xfId="23" applyFont="1" applyAlignment="1">
      <alignment horizontal="left"/>
      <protection/>
    </xf>
    <xf numFmtId="0" fontId="15" fillId="0" borderId="0" xfId="23" applyFont="1" applyAlignment="1">
      <alignment horizontal="left"/>
      <protection/>
    </xf>
    <xf numFmtId="3" fontId="9" fillId="0" borderId="0" xfId="23" applyNumberFormat="1" applyFont="1">
      <alignment/>
      <protection/>
    </xf>
    <xf numFmtId="3" fontId="15" fillId="0" borderId="63" xfId="23" applyNumberFormat="1" applyFont="1" applyBorder="1">
      <alignment/>
      <protection/>
    </xf>
    <xf numFmtId="201" fontId="25" fillId="0" borderId="141" xfId="24" applyNumberFormat="1" applyFont="1" applyBorder="1" applyAlignment="1">
      <alignment/>
    </xf>
    <xf numFmtId="0" fontId="9" fillId="0" borderId="130" xfId="23" applyFont="1" applyBorder="1" applyAlignment="1">
      <alignment horizontal="left"/>
      <protection/>
    </xf>
    <xf numFmtId="0" fontId="4" fillId="0" borderId="133" xfId="23" applyBorder="1">
      <alignment/>
      <protection/>
    </xf>
    <xf numFmtId="201" fontId="4" fillId="0" borderId="121" xfId="23" applyNumberFormat="1" applyFont="1" applyBorder="1">
      <alignment/>
      <protection/>
    </xf>
    <xf numFmtId="0" fontId="4" fillId="0" borderId="128" xfId="23" applyBorder="1">
      <alignment/>
      <protection/>
    </xf>
    <xf numFmtId="201" fontId="4" fillId="0" borderId="125" xfId="23" applyNumberFormat="1" applyFont="1" applyBorder="1">
      <alignment/>
      <protection/>
    </xf>
    <xf numFmtId="3" fontId="4" fillId="0" borderId="63" xfId="23" applyNumberFormat="1" applyBorder="1">
      <alignment/>
      <protection/>
    </xf>
    <xf numFmtId="201" fontId="4" fillId="0" borderId="127" xfId="23" applyNumberFormat="1" applyFont="1" applyBorder="1">
      <alignment/>
      <protection/>
    </xf>
    <xf numFmtId="201" fontId="25" fillId="0" borderId="141" xfId="23" applyNumberFormat="1" applyFont="1" applyBorder="1">
      <alignment/>
      <protection/>
    </xf>
    <xf numFmtId="0" fontId="6" fillId="0" borderId="12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55" xfId="0" applyFont="1" applyBorder="1" applyAlignment="1">
      <alignment horizontal="center" vertical="center"/>
    </xf>
    <xf numFmtId="0" fontId="8" fillId="0" borderId="143" xfId="21" applyFont="1" applyBorder="1" applyAlignment="1">
      <alignment/>
      <protection/>
    </xf>
    <xf numFmtId="0" fontId="4" fillId="0" borderId="144" xfId="21" applyBorder="1" applyAlignment="1">
      <alignment/>
      <protection/>
    </xf>
    <xf numFmtId="0" fontId="4" fillId="0" borderId="145" xfId="21" applyBorder="1" applyAlignment="1">
      <alignment/>
      <protection/>
    </xf>
    <xf numFmtId="0" fontId="31" fillId="0" borderId="90" xfId="21" applyFont="1" applyBorder="1" applyAlignment="1">
      <alignment horizontal="center" vertical="center" wrapText="1"/>
      <protection/>
    </xf>
    <xf numFmtId="0" fontId="4" fillId="0" borderId="123" xfId="21" applyBorder="1" applyAlignment="1">
      <alignment horizontal="center" vertical="center"/>
      <protection/>
    </xf>
    <xf numFmtId="0" fontId="4" fillId="0" borderId="91" xfId="21" applyBorder="1" applyAlignment="1">
      <alignment horizontal="center" vertical="center"/>
      <protection/>
    </xf>
    <xf numFmtId="0" fontId="31" fillId="0" borderId="90" xfId="21" applyFont="1" applyBorder="1" applyAlignment="1">
      <alignment horizontal="center" vertical="center"/>
      <protection/>
    </xf>
    <xf numFmtId="0" fontId="31" fillId="0" borderId="55" xfId="21" applyFont="1" applyBorder="1" applyAlignment="1">
      <alignment horizontal="center" vertical="center"/>
      <protection/>
    </xf>
    <xf numFmtId="0" fontId="4" fillId="0" borderId="122" xfId="21" applyBorder="1" applyAlignment="1">
      <alignment horizontal="center" vertical="center"/>
      <protection/>
    </xf>
    <xf numFmtId="0" fontId="4" fillId="0" borderId="56" xfId="21" applyBorder="1" applyAlignment="1">
      <alignment horizontal="center" vertical="center"/>
      <protection/>
    </xf>
    <xf numFmtId="0" fontId="31" fillId="0" borderId="55" xfId="21" applyFont="1" applyBorder="1" applyAlignment="1">
      <alignment horizontal="center" vertical="center"/>
      <protection/>
    </xf>
    <xf numFmtId="0" fontId="31" fillId="0" borderId="122" xfId="21" applyFont="1" applyBorder="1" applyAlignment="1">
      <alignment horizontal="center" vertical="center"/>
      <protection/>
    </xf>
    <xf numFmtId="0" fontId="31" fillId="0" borderId="56" xfId="21" applyFont="1" applyBorder="1" applyAlignment="1">
      <alignment horizontal="center" vertical="center"/>
      <protection/>
    </xf>
    <xf numFmtId="0" fontId="8" fillId="0" borderId="90" xfId="21" applyFont="1" applyBorder="1" applyAlignment="1">
      <alignment horizontal="center" vertical="center" wrapText="1"/>
      <protection/>
    </xf>
    <xf numFmtId="0" fontId="8" fillId="0" borderId="123" xfId="21" applyFont="1" applyBorder="1" applyAlignment="1">
      <alignment horizontal="center" vertical="center"/>
      <protection/>
    </xf>
    <xf numFmtId="0" fontId="8" fillId="0" borderId="91" xfId="21" applyFont="1" applyBorder="1" applyAlignment="1">
      <alignment horizontal="center" vertical="center"/>
      <protection/>
    </xf>
    <xf numFmtId="0" fontId="4" fillId="0" borderId="123" xfId="21" applyBorder="1" applyAlignment="1">
      <alignment horizontal="center" vertical="center" wrapText="1"/>
      <protection/>
    </xf>
    <xf numFmtId="0" fontId="4" fillId="0" borderId="91" xfId="2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18" xfId="20" applyBorder="1" applyAlignment="1">
      <alignment horizontal="center" vertical="center" wrapText="1"/>
      <protection/>
    </xf>
    <xf numFmtId="0" fontId="19" fillId="0" borderId="18" xfId="20" applyFont="1" applyBorder="1" applyAlignment="1">
      <alignment horizontal="center" vertical="center"/>
      <protection/>
    </xf>
    <xf numFmtId="0" fontId="4" fillId="0" borderId="18" xfId="20" applyBorder="1" applyAlignment="1">
      <alignment/>
      <protection/>
    </xf>
    <xf numFmtId="0" fontId="4" fillId="0" borderId="18" xfId="20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146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22" fillId="0" borderId="149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8" fillId="0" borderId="154" xfId="22" applyFont="1" applyBorder="1" applyAlignment="1">
      <alignment/>
      <protection/>
    </xf>
    <xf numFmtId="0" fontId="4" fillId="0" borderId="155" xfId="22" applyFont="1" applyBorder="1" applyAlignment="1">
      <alignment/>
      <protection/>
    </xf>
    <xf numFmtId="0" fontId="8" fillId="0" borderId="156" xfId="22" applyFont="1" applyBorder="1" applyAlignment="1">
      <alignment/>
      <protection/>
    </xf>
    <xf numFmtId="0" fontId="4" fillId="0" borderId="41" xfId="22" applyFont="1" applyBorder="1" applyAlignment="1">
      <alignment/>
      <protection/>
    </xf>
    <xf numFmtId="0" fontId="8" fillId="0" borderId="33" xfId="22" applyFont="1" applyBorder="1" applyAlignment="1">
      <alignment horizontal="center" vertical="center" textRotation="90" wrapText="1"/>
      <protection/>
    </xf>
    <xf numFmtId="0" fontId="8" fillId="0" borderId="76" xfId="22" applyFont="1" applyBorder="1" applyAlignment="1">
      <alignment horizontal="center" vertical="center" textRotation="90" wrapText="1"/>
      <protection/>
    </xf>
    <xf numFmtId="0" fontId="8" fillId="0" borderId="39" xfId="22" applyFont="1" applyBorder="1" applyAlignment="1">
      <alignment/>
      <protection/>
    </xf>
    <xf numFmtId="0" fontId="4" fillId="0" borderId="40" xfId="22" applyFont="1" applyBorder="1" applyAlignment="1">
      <alignment/>
      <protection/>
    </xf>
    <xf numFmtId="0" fontId="8" fillId="0" borderId="44" xfId="22" applyFont="1" applyBorder="1" applyAlignment="1">
      <alignment/>
      <protection/>
    </xf>
    <xf numFmtId="0" fontId="4" fillId="0" borderId="43" xfId="22" applyFont="1" applyBorder="1" applyAlignment="1">
      <alignment/>
      <protection/>
    </xf>
    <xf numFmtId="0" fontId="35" fillId="0" borderId="0" xfId="22" applyFont="1" applyAlignment="1">
      <alignment horizontal="center"/>
      <protection/>
    </xf>
    <xf numFmtId="0" fontId="36" fillId="0" borderId="0" xfId="22" applyFont="1" applyAlignment="1">
      <alignment horizontal="center"/>
      <protection/>
    </xf>
    <xf numFmtId="0" fontId="4" fillId="0" borderId="41" xfId="22" applyBorder="1" applyAlignment="1">
      <alignment/>
      <protection/>
    </xf>
    <xf numFmtId="0" fontId="7" fillId="0" borderId="65" xfId="22" applyFont="1" applyBorder="1" applyAlignment="1">
      <alignment horizontal="center" vertical="center"/>
      <protection/>
    </xf>
    <xf numFmtId="0" fontId="4" fillId="0" borderId="66" xfId="22" applyBorder="1" applyAlignment="1">
      <alignment/>
      <protection/>
    </xf>
    <xf numFmtId="0" fontId="4" fillId="0" borderId="39" xfId="22" applyBorder="1" applyAlignment="1">
      <alignment/>
      <protection/>
    </xf>
    <xf numFmtId="0" fontId="4" fillId="0" borderId="40" xfId="22" applyBorder="1" applyAlignment="1">
      <alignment/>
      <protection/>
    </xf>
    <xf numFmtId="0" fontId="8" fillId="0" borderId="157" xfId="22" applyFont="1" applyBorder="1" applyAlignment="1">
      <alignment/>
      <protection/>
    </xf>
    <xf numFmtId="0" fontId="4" fillId="0" borderId="74" xfId="22" applyFont="1" applyBorder="1" applyAlignment="1">
      <alignment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4" fillId="0" borderId="19" xfId="22" applyBorder="1" applyAlignment="1">
      <alignment/>
      <protection/>
    </xf>
    <xf numFmtId="0" fontId="4" fillId="0" borderId="15" xfId="22" applyBorder="1" applyAlignment="1">
      <alignment/>
      <protection/>
    </xf>
    <xf numFmtId="49" fontId="25" fillId="0" borderId="90" xfId="23" applyNumberFormat="1" applyFont="1" applyBorder="1" applyAlignment="1">
      <alignment horizontal="center" vertical="center" wrapText="1"/>
      <protection/>
    </xf>
    <xf numFmtId="0" fontId="4" fillId="0" borderId="91" xfId="23" applyBorder="1" applyAlignment="1">
      <alignment horizontal="center" vertical="center" wrapText="1"/>
      <protection/>
    </xf>
    <xf numFmtId="49" fontId="25" fillId="0" borderId="90" xfId="23" applyNumberFormat="1" applyFont="1" applyBorder="1" applyAlignment="1">
      <alignment horizontal="center" vertical="center"/>
      <protection/>
    </xf>
    <xf numFmtId="0" fontId="4" fillId="0" borderId="91" xfId="23" applyBorder="1" applyAlignment="1">
      <alignment horizontal="center" vertical="center"/>
      <protection/>
    </xf>
    <xf numFmtId="49" fontId="25" fillId="0" borderId="119" xfId="23" applyNumberFormat="1" applyFont="1" applyBorder="1" applyAlignment="1">
      <alignment horizontal="center" vertical="center"/>
      <protection/>
    </xf>
    <xf numFmtId="0" fontId="4" fillId="0" borderId="120" xfId="23" applyBorder="1" applyAlignment="1">
      <alignment horizontal="center" vertical="center"/>
      <protection/>
    </xf>
    <xf numFmtId="0" fontId="4" fillId="0" borderId="121" xfId="23" applyBorder="1" applyAlignment="1">
      <alignment horizontal="center" vertical="center"/>
      <protection/>
    </xf>
    <xf numFmtId="0" fontId="4" fillId="0" borderId="136" xfId="23" applyBorder="1" applyAlignment="1">
      <alignment horizontal="center" vertical="center"/>
      <protection/>
    </xf>
    <xf numFmtId="0" fontId="4" fillId="0" borderId="126" xfId="23" applyBorder="1" applyAlignment="1">
      <alignment horizontal="center" vertical="center"/>
      <protection/>
    </xf>
    <xf numFmtId="0" fontId="4" fillId="0" borderId="127" xfId="23" applyBorder="1" applyAlignment="1">
      <alignment horizontal="center" vertical="center"/>
      <protection/>
    </xf>
    <xf numFmtId="0" fontId="15" fillId="0" borderId="133" xfId="23" applyFont="1" applyBorder="1" applyAlignment="1">
      <alignment horizontal="center" vertical="center" wrapText="1"/>
      <protection/>
    </xf>
    <xf numFmtId="0" fontId="4" fillId="0" borderId="63" xfId="23" applyBorder="1" applyAlignment="1">
      <alignment horizontal="center" vertical="center" wrapText="1"/>
      <protection/>
    </xf>
    <xf numFmtId="0" fontId="13" fillId="0" borderId="0" xfId="23" applyFont="1" applyAlignment="1">
      <alignment horizontal="center" vertical="center"/>
      <protection/>
    </xf>
    <xf numFmtId="0" fontId="4" fillId="0" borderId="0" xfId="23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15" fillId="0" borderId="101" xfId="23" applyFont="1" applyBorder="1" applyAlignment="1">
      <alignment horizontal="center" vertical="center"/>
      <protection/>
    </xf>
    <xf numFmtId="0" fontId="9" fillId="0" borderId="138" xfId="23" applyFont="1" applyBorder="1" applyAlignment="1">
      <alignment horizontal="center" vertical="center"/>
      <protection/>
    </xf>
    <xf numFmtId="0" fontId="13" fillId="0" borderId="0" xfId="23" applyFont="1" applyAlignment="1">
      <alignment horizontal="center" vertical="center"/>
      <protection/>
    </xf>
    <xf numFmtId="0" fontId="4" fillId="0" borderId="138" xfId="23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tabuľka  3 08 pozastavený predaj" xfId="20"/>
    <cellStyle name="normálne_tabuľka  5  08 vzorky" xfId="21"/>
    <cellStyle name="normálne_tabuľka 10 sumár 2000-2008" xfId="22"/>
    <cellStyle name="normálne_tabuľka 11,12,13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s&#357;a&#382;nosti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3">
          <cell r="B3" t="str">
            <v>ostatný priemyselný tovar</v>
          </cell>
        </row>
        <row r="4">
          <cell r="B4" t="str">
            <v>pohostinské prevádzkarne</v>
          </cell>
          <cell r="C4">
            <v>196</v>
          </cell>
        </row>
        <row r="5">
          <cell r="B5" t="str">
            <v>iné služby </v>
          </cell>
          <cell r="C5">
            <v>270</v>
          </cell>
        </row>
        <row r="6">
          <cell r="B6" t="str">
            <v>potraviny</v>
          </cell>
          <cell r="C6">
            <v>325</v>
          </cell>
        </row>
        <row r="7">
          <cell r="B7" t="str">
            <v>textil, odevy </v>
          </cell>
          <cell r="C7">
            <v>284</v>
          </cell>
        </row>
        <row r="8">
          <cell r="B8" t="str">
            <v>rozvod energií</v>
          </cell>
          <cell r="C8">
            <v>185</v>
          </cell>
        </row>
        <row r="9">
          <cell r="B9" t="str">
            <v>zmiešaný tovar </v>
          </cell>
          <cell r="C9">
            <v>152</v>
          </cell>
        </row>
        <row r="10">
          <cell r="B10" t="str">
            <v>spotrebná elektronika</v>
          </cell>
          <cell r="C10">
            <v>193</v>
          </cell>
        </row>
        <row r="11">
          <cell r="B11" t="str">
            <v>cestovné kancelárie</v>
          </cell>
          <cell r="C11">
            <v>146</v>
          </cell>
        </row>
        <row r="12">
          <cell r="B12" t="str">
            <v>nábytok</v>
          </cell>
          <cell r="C12">
            <v>118</v>
          </cell>
        </row>
        <row r="13">
          <cell r="B13" t="str">
            <v>stavebný materiál</v>
          </cell>
          <cell r="C13">
            <v>94</v>
          </cell>
        </row>
        <row r="14">
          <cell r="B14" t="str">
            <v>telekomunikácie 644-mobily</v>
          </cell>
          <cell r="C14">
            <v>146</v>
          </cell>
        </row>
        <row r="15">
          <cell r="B15" t="str">
            <v>elektrospotrebiče</v>
          </cell>
          <cell r="C15">
            <v>122</v>
          </cell>
        </row>
        <row r="16">
          <cell r="B16" t="str">
            <v>predaj motorových vozidiel</v>
          </cell>
        </row>
        <row r="17">
          <cell r="B17" t="str">
            <v>stavebné služby</v>
          </cell>
          <cell r="C17">
            <v>98</v>
          </cell>
        </row>
        <row r="18">
          <cell r="B18" t="str">
            <v>ovocie-zelenina</v>
          </cell>
          <cell r="C18">
            <v>42</v>
          </cell>
        </row>
        <row r="19">
          <cell r="B19" t="str">
            <v>športové potreby </v>
          </cell>
          <cell r="C19">
            <v>69</v>
          </cell>
        </row>
        <row r="20">
          <cell r="B20" t="str">
            <v>pohonné hmoty</v>
          </cell>
          <cell r="C20">
            <v>23</v>
          </cell>
        </row>
        <row r="21">
          <cell r="B21" t="str">
            <v>zlatníctvo</v>
          </cell>
          <cell r="C21">
            <v>42</v>
          </cell>
        </row>
        <row r="22">
          <cell r="B22" t="str">
            <v>telekomunikácie 642</v>
          </cell>
          <cell r="C22">
            <v>0</v>
          </cell>
        </row>
        <row r="23">
          <cell r="B23" t="str">
            <v>mäso-údeniny</v>
          </cell>
        </row>
        <row r="24">
          <cell r="B24" t="str">
            <v>oprava motorových vozidiel</v>
          </cell>
        </row>
        <row r="25">
          <cell r="B25" t="str">
            <v>kozmetika-drogéria</v>
          </cell>
        </row>
        <row r="26">
          <cell r="B26" t="str">
            <v>tabak</v>
          </cell>
        </row>
        <row r="27">
          <cell r="B27" t="str">
            <v>PNS, tlač</v>
          </cell>
        </row>
        <row r="28">
          <cell r="B28" t="str">
            <v>pyrotechnické výrobky</v>
          </cell>
        </row>
        <row r="29">
          <cell r="B29" t="str">
            <v>osivá, sadivá, záhr. Potreby</v>
          </cell>
        </row>
        <row r="30">
          <cell r="B30" t="str">
            <v>montáž a výroba plast. okien</v>
          </cell>
          <cell r="C30">
            <v>29</v>
          </cell>
        </row>
        <row r="31">
          <cell r="B31" t="str">
            <v>zásielkový predaj </v>
          </cell>
        </row>
        <row r="32">
          <cell r="B32" t="str">
            <v>čistiarne, práčovne</v>
          </cell>
          <cell r="C32">
            <v>32</v>
          </cell>
        </row>
        <row r="33">
          <cell r="B33" t="str">
            <v>hostinec, bistro, bufet</v>
          </cell>
          <cell r="C33">
            <v>132</v>
          </cell>
        </row>
        <row r="34">
          <cell r="B34" t="str">
            <v>kuchynské potreby</v>
          </cell>
          <cell r="C34">
            <v>29</v>
          </cell>
        </row>
        <row r="35">
          <cell r="B35" t="str">
            <v>kožená gal.</v>
          </cell>
          <cell r="C35">
            <v>23</v>
          </cell>
        </row>
        <row r="36">
          <cell r="B36" t="str">
            <v>bytové doplnky</v>
          </cell>
          <cell r="C36">
            <v>20</v>
          </cell>
        </row>
        <row r="37">
          <cell r="B37" t="str">
            <v>oprava elektrospotrebičov</v>
          </cell>
          <cell r="C37">
            <v>17</v>
          </cell>
        </row>
        <row r="38">
          <cell r="B38" t="str">
            <v>cukráreň </v>
          </cell>
        </row>
        <row r="39">
          <cell r="B39" t="str">
            <v>foto</v>
          </cell>
        </row>
        <row r="40">
          <cell r="B40" t="str">
            <v>hračky</v>
          </cell>
        </row>
        <row r="41">
          <cell r="B41" t="str">
            <v>kaderníctvo</v>
          </cell>
        </row>
        <row r="42">
          <cell r="B42" t="str">
            <v>klenoty</v>
          </cell>
        </row>
        <row r="43">
          <cell r="B43" t="str">
            <v>kožušiny</v>
          </cell>
        </row>
        <row r="44">
          <cell r="B44" t="str">
            <v>kvety</v>
          </cell>
        </row>
        <row r="45">
          <cell r="B45" t="str">
            <v>lahôdky</v>
          </cell>
        </row>
        <row r="46">
          <cell r="B46" t="str">
            <v>lieky, liečivá</v>
          </cell>
        </row>
        <row r="47">
          <cell r="B47" t="str">
            <v>oprava mot.vozidiel</v>
          </cell>
        </row>
        <row r="48">
          <cell r="B48" t="str">
            <v>oprava obuvi</v>
          </cell>
        </row>
        <row r="49">
          <cell r="B49" t="str">
            <v>oprava spotr. elektroniky</v>
          </cell>
        </row>
        <row r="50">
          <cell r="B50" t="str">
            <v>ost. priemyselný tovar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R40"/>
  <sheetViews>
    <sheetView tabSelected="1" workbookViewId="0" topLeftCell="A4">
      <selection activeCell="J16" sqref="J16"/>
    </sheetView>
  </sheetViews>
  <sheetFormatPr defaultColWidth="9.140625" defaultRowHeight="12.75"/>
  <cols>
    <col min="2" max="2" width="23.00390625" style="0" customWidth="1"/>
    <col min="3" max="3" width="13.421875" style="0" customWidth="1"/>
    <col min="4" max="4" width="12.140625" style="0" customWidth="1"/>
    <col min="5" max="5" width="12.8515625" style="0" customWidth="1"/>
    <col min="6" max="6" width="12.57421875" style="0" customWidth="1"/>
    <col min="7" max="7" width="12.8515625" style="0" customWidth="1"/>
    <col min="8" max="8" width="14.7109375" style="0" customWidth="1"/>
    <col min="10" max="10" width="11.7109375" style="0" bestFit="1" customWidth="1"/>
  </cols>
  <sheetData>
    <row r="3" ht="18">
      <c r="B3" s="16" t="s">
        <v>18</v>
      </c>
    </row>
    <row r="5" ht="31.5" customHeight="1" thickBot="1">
      <c r="B5" s="13" t="s">
        <v>0</v>
      </c>
    </row>
    <row r="6" spans="2:44" ht="39.75" thickBot="1" thickTop="1">
      <c r="B6" s="24" t="s">
        <v>1</v>
      </c>
      <c r="C6" s="2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7" t="s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31" ht="24.75" customHeight="1" thickTop="1">
      <c r="B7" s="25" t="s">
        <v>8</v>
      </c>
      <c r="C7" s="23">
        <v>4673</v>
      </c>
      <c r="D7" s="6">
        <v>2894</v>
      </c>
      <c r="E7" s="6">
        <v>70</v>
      </c>
      <c r="F7" s="7">
        <f aca="true" t="shared" si="0" ref="F7:F15">E7/D7*100</f>
        <v>2.4187975120939877</v>
      </c>
      <c r="G7" s="8">
        <v>0.4</v>
      </c>
      <c r="H7" s="18">
        <f>48308+11826269+6015654+341114</f>
        <v>18231345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"/>
      <c r="AC7" s="1"/>
      <c r="AD7" s="1"/>
      <c r="AE7" s="1"/>
    </row>
    <row r="8" spans="2:31" ht="24.75" customHeight="1">
      <c r="B8" s="25" t="s">
        <v>9</v>
      </c>
      <c r="C8" s="23">
        <v>3596</v>
      </c>
      <c r="D8" s="6">
        <v>2563</v>
      </c>
      <c r="E8" s="6">
        <v>31</v>
      </c>
      <c r="F8" s="7">
        <f t="shared" si="0"/>
        <v>1.2095200936402655</v>
      </c>
      <c r="G8" s="8">
        <v>0.1</v>
      </c>
      <c r="H8" s="18">
        <f>50488+73490012+17677395+3161352</f>
        <v>94379247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"/>
      <c r="AC8" s="1"/>
      <c r="AD8" s="1"/>
      <c r="AE8" s="1"/>
    </row>
    <row r="9" spans="2:31" ht="24.75" customHeight="1">
      <c r="B9" s="25" t="s">
        <v>10</v>
      </c>
      <c r="C9" s="23">
        <v>4700</v>
      </c>
      <c r="D9" s="6">
        <v>731</v>
      </c>
      <c r="E9" s="6">
        <v>78</v>
      </c>
      <c r="F9" s="7">
        <f t="shared" si="0"/>
        <v>10.6703146374829</v>
      </c>
      <c r="G9" s="8">
        <v>0.4</v>
      </c>
      <c r="H9" s="18">
        <f>1261082+9260546+9429584+871976</f>
        <v>20823188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"/>
      <c r="AC9" s="1"/>
      <c r="AD9" s="1"/>
      <c r="AE9" s="1"/>
    </row>
    <row r="10" spans="2:31" ht="24.75" customHeight="1">
      <c r="B10" s="25" t="s">
        <v>11</v>
      </c>
      <c r="C10" s="23">
        <v>3619</v>
      </c>
      <c r="D10" s="6">
        <v>1131</v>
      </c>
      <c r="E10" s="6">
        <v>36</v>
      </c>
      <c r="F10" s="7">
        <f t="shared" si="0"/>
        <v>3.183023872679045</v>
      </c>
      <c r="G10" s="8">
        <v>0.2</v>
      </c>
      <c r="H10" s="18">
        <f>957620+26230393+2901721+5568</f>
        <v>30095302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"/>
      <c r="AC10" s="1"/>
      <c r="AD10" s="1"/>
      <c r="AE10" s="1"/>
    </row>
    <row r="11" spans="2:31" ht="24.75" customHeight="1">
      <c r="B11" s="25" t="s">
        <v>12</v>
      </c>
      <c r="C11" s="23">
        <v>4311</v>
      </c>
      <c r="D11" s="6">
        <v>2679</v>
      </c>
      <c r="E11" s="6">
        <v>49</v>
      </c>
      <c r="F11" s="7">
        <f t="shared" si="0"/>
        <v>1.8290406868234417</v>
      </c>
      <c r="G11" s="8">
        <v>0.1</v>
      </c>
      <c r="H11" s="18">
        <f>1602183+12744093+6707984+769388</f>
        <v>21823648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"/>
      <c r="AC11" s="1"/>
      <c r="AD11" s="1"/>
      <c r="AE11" s="1"/>
    </row>
    <row r="12" spans="2:31" ht="24.75" customHeight="1">
      <c r="B12" s="25" t="s">
        <v>13</v>
      </c>
      <c r="C12" s="23">
        <v>4896</v>
      </c>
      <c r="D12" s="6">
        <v>457</v>
      </c>
      <c r="E12" s="6">
        <v>57</v>
      </c>
      <c r="F12" s="7">
        <f t="shared" si="0"/>
        <v>12.472647702407002</v>
      </c>
      <c r="G12" s="8">
        <v>0.7</v>
      </c>
      <c r="H12" s="18">
        <f>169540+4352159+19861013+170435</f>
        <v>24553147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"/>
      <c r="AC12" s="1"/>
      <c r="AD12" s="1"/>
      <c r="AE12" s="1"/>
    </row>
    <row r="13" spans="2:31" ht="24.75" customHeight="1">
      <c r="B13" s="25" t="s">
        <v>14</v>
      </c>
      <c r="C13" s="23">
        <v>4733</v>
      </c>
      <c r="D13" s="6">
        <v>2815</v>
      </c>
      <c r="E13" s="6">
        <v>92</v>
      </c>
      <c r="F13" s="7">
        <f t="shared" si="0"/>
        <v>3.268206039076377</v>
      </c>
      <c r="G13" s="8">
        <v>0.1</v>
      </c>
      <c r="H13" s="18">
        <f>3174643+15525159+8450757+430</f>
        <v>27150989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"/>
      <c r="AC13" s="1"/>
      <c r="AD13" s="1"/>
      <c r="AE13" s="1"/>
    </row>
    <row r="14" spans="2:31" ht="24.75" customHeight="1" thickBot="1">
      <c r="B14" s="26" t="s">
        <v>15</v>
      </c>
      <c r="C14" s="23">
        <v>6266</v>
      </c>
      <c r="D14" s="6">
        <v>2964</v>
      </c>
      <c r="E14" s="6">
        <v>33</v>
      </c>
      <c r="F14" s="7">
        <f t="shared" si="0"/>
        <v>1.1133603238866396</v>
      </c>
      <c r="G14" s="8">
        <v>0.1</v>
      </c>
      <c r="H14" s="18">
        <f>1736262+5975147+2387823+1980835</f>
        <v>12080067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"/>
      <c r="AC14" s="1"/>
      <c r="AD14" s="1"/>
      <c r="AE14" s="1"/>
    </row>
    <row r="15" spans="2:31" ht="24.75" customHeight="1" thickBot="1" thickTop="1">
      <c r="B15" s="21" t="s">
        <v>17</v>
      </c>
      <c r="C15" s="14">
        <f>SUM(C7:C14)</f>
        <v>36794</v>
      </c>
      <c r="D15" s="14">
        <f>SUM(D7:D14)</f>
        <v>16234</v>
      </c>
      <c r="E15" s="14">
        <f>SUM(E7:E14)</f>
        <v>446</v>
      </c>
      <c r="F15" s="15">
        <f t="shared" si="0"/>
        <v>2.7473204385856844</v>
      </c>
      <c r="G15" s="15">
        <v>0.3</v>
      </c>
      <c r="H15" s="19">
        <f>SUM(H7:H14)</f>
        <v>249136933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"/>
      <c r="AC15" s="1"/>
      <c r="AD15" s="1"/>
      <c r="AE15" s="1"/>
    </row>
    <row r="16" spans="2:31" ht="24.75" customHeight="1" thickBot="1" thickTop="1">
      <c r="B16" s="3" t="s">
        <v>16</v>
      </c>
      <c r="C16" s="9">
        <v>24889</v>
      </c>
      <c r="D16" s="10">
        <v>11240</v>
      </c>
      <c r="E16" s="10">
        <v>599</v>
      </c>
      <c r="F16" s="11">
        <v>5.33</v>
      </c>
      <c r="G16" s="11">
        <v>0.3</v>
      </c>
      <c r="H16" s="20">
        <v>233320662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"/>
      <c r="W16" s="4"/>
      <c r="X16" s="4"/>
      <c r="Y16" s="4"/>
      <c r="Z16" s="4"/>
      <c r="AA16" s="4"/>
      <c r="AB16" s="1"/>
      <c r="AC16" s="1"/>
      <c r="AD16" s="1"/>
      <c r="AE16" s="1"/>
    </row>
    <row r="17" spans="2:31" ht="13.5" thickTop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2.75">
      <c r="B19" s="1"/>
      <c r="C19" s="1"/>
      <c r="D19" s="1"/>
      <c r="E19" s="1"/>
      <c r="F19" s="1"/>
      <c r="G19" s="1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2.75"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printOptions horizontalCentered="1" verticalCentered="1"/>
  <pageMargins left="0.7874015748031497" right="1.1811023622047245" top="0.984251968503937" bottom="1.574803149606299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8" sqref="L8"/>
    </sheetView>
  </sheetViews>
  <sheetFormatPr defaultColWidth="9.140625" defaultRowHeight="12.75"/>
  <cols>
    <col min="1" max="1" width="7.28125" style="347" customWidth="1"/>
    <col min="2" max="5" width="9.140625" style="347" customWidth="1"/>
    <col min="6" max="6" width="6.28125" style="347" customWidth="1"/>
    <col min="7" max="7" width="10.7109375" style="347" customWidth="1"/>
    <col min="8" max="8" width="11.28125" style="347" customWidth="1"/>
    <col min="9" max="16384" width="9.140625" style="347" customWidth="1"/>
  </cols>
  <sheetData>
    <row r="1" spans="3:9" ht="15.75">
      <c r="C1" s="348" t="s">
        <v>239</v>
      </c>
      <c r="I1" s="349"/>
    </row>
    <row r="2" spans="4:6" ht="15">
      <c r="D2" s="350"/>
      <c r="E2" s="351" t="s">
        <v>240</v>
      </c>
      <c r="F2" s="350"/>
    </row>
    <row r="3" spans="2:9" ht="15">
      <c r="B3" s="352"/>
      <c r="C3" s="353"/>
      <c r="D3" s="354"/>
      <c r="E3" s="355" t="s">
        <v>241</v>
      </c>
      <c r="F3" s="356"/>
      <c r="I3" s="349"/>
    </row>
    <row r="4" spans="2:9" ht="12.75">
      <c r="B4" s="352"/>
      <c r="C4" s="353"/>
      <c r="D4" s="352"/>
      <c r="E4" s="357"/>
      <c r="F4" s="358"/>
      <c r="I4" s="349"/>
    </row>
    <row r="5" spans="2:9" ht="12.75">
      <c r="B5" s="352"/>
      <c r="C5" s="353"/>
      <c r="D5" s="352"/>
      <c r="E5" s="357"/>
      <c r="F5" s="358"/>
      <c r="I5" s="349"/>
    </row>
    <row r="6" spans="2:9" ht="12.75">
      <c r="B6" s="352"/>
      <c r="C6" s="353"/>
      <c r="D6" s="352"/>
      <c r="E6" s="352"/>
      <c r="F6" s="358"/>
      <c r="I6" s="349" t="s">
        <v>242</v>
      </c>
    </row>
    <row r="7" spans="2:9" ht="12.75">
      <c r="B7" s="352"/>
      <c r="C7" s="353"/>
      <c r="D7" s="352"/>
      <c r="E7" s="352"/>
      <c r="F7" s="358"/>
      <c r="I7" s="349"/>
    </row>
    <row r="8" spans="1:9" ht="13.5" thickBot="1">
      <c r="A8" s="359"/>
      <c r="I8" s="347" t="s">
        <v>243</v>
      </c>
    </row>
    <row r="9" spans="1:9" ht="12.75">
      <c r="A9" s="564" t="s">
        <v>244</v>
      </c>
      <c r="B9" s="564" t="s">
        <v>245</v>
      </c>
      <c r="C9" s="566" t="s">
        <v>246</v>
      </c>
      <c r="D9" s="567"/>
      <c r="E9" s="567"/>
      <c r="F9" s="568"/>
      <c r="G9" s="564" t="s">
        <v>247</v>
      </c>
      <c r="H9" s="562" t="s">
        <v>248</v>
      </c>
      <c r="I9" s="562" t="s">
        <v>249</v>
      </c>
    </row>
    <row r="10" spans="1:9" ht="13.5" thickBot="1">
      <c r="A10" s="565"/>
      <c r="B10" s="565"/>
      <c r="C10" s="569"/>
      <c r="D10" s="570"/>
      <c r="E10" s="570"/>
      <c r="F10" s="571"/>
      <c r="G10" s="565"/>
      <c r="H10" s="563"/>
      <c r="I10" s="563"/>
    </row>
    <row r="11" spans="1:9" ht="13.5" thickBot="1">
      <c r="A11" s="360"/>
      <c r="B11" s="361">
        <v>711003</v>
      </c>
      <c r="C11" s="362" t="s">
        <v>250</v>
      </c>
      <c r="D11" s="363"/>
      <c r="E11" s="363"/>
      <c r="F11" s="364"/>
      <c r="G11" s="365">
        <v>5971</v>
      </c>
      <c r="H11" s="365">
        <v>5971</v>
      </c>
      <c r="I11" s="366">
        <f>H11/G11</f>
        <v>1</v>
      </c>
    </row>
    <row r="12" spans="1:9" ht="13.5" thickBot="1">
      <c r="A12" s="367">
        <v>711</v>
      </c>
      <c r="B12" s="367"/>
      <c r="C12" s="368" t="s">
        <v>251</v>
      </c>
      <c r="D12" s="369"/>
      <c r="E12" s="369"/>
      <c r="F12" s="370"/>
      <c r="G12" s="371">
        <f>SUM(G11)</f>
        <v>5971</v>
      </c>
      <c r="H12" s="371">
        <v>5971</v>
      </c>
      <c r="I12" s="372">
        <f aca="true" t="shared" si="0" ref="I12:I22">H12/G12</f>
        <v>1</v>
      </c>
    </row>
    <row r="13" spans="1:9" ht="12.75">
      <c r="A13" s="373"/>
      <c r="B13" s="373">
        <v>713001</v>
      </c>
      <c r="C13" s="374" t="s">
        <v>252</v>
      </c>
      <c r="D13" s="375"/>
      <c r="E13" s="375"/>
      <c r="F13" s="376"/>
      <c r="G13" s="377">
        <v>0</v>
      </c>
      <c r="H13" s="378">
        <v>0</v>
      </c>
      <c r="I13" s="372">
        <v>0</v>
      </c>
    </row>
    <row r="14" spans="1:9" ht="12.75">
      <c r="A14" s="373"/>
      <c r="B14" s="373">
        <v>713002</v>
      </c>
      <c r="C14" s="374" t="s">
        <v>253</v>
      </c>
      <c r="D14" s="375"/>
      <c r="E14" s="375"/>
      <c r="F14" s="376"/>
      <c r="G14" s="377">
        <v>524</v>
      </c>
      <c r="H14" s="379">
        <v>524</v>
      </c>
      <c r="I14" s="380">
        <f t="shared" si="0"/>
        <v>1</v>
      </c>
    </row>
    <row r="15" spans="1:9" ht="12.75">
      <c r="A15" s="373"/>
      <c r="B15" s="373">
        <v>713003</v>
      </c>
      <c r="C15" s="374" t="s">
        <v>254</v>
      </c>
      <c r="D15" s="375"/>
      <c r="E15" s="375"/>
      <c r="F15" s="376"/>
      <c r="G15" s="377">
        <v>0</v>
      </c>
      <c r="H15" s="379">
        <v>0</v>
      </c>
      <c r="I15" s="380">
        <v>0</v>
      </c>
    </row>
    <row r="16" spans="1:13" ht="13.5" thickBot="1">
      <c r="A16" s="373"/>
      <c r="B16" s="373">
        <v>713004</v>
      </c>
      <c r="C16" s="374" t="s">
        <v>255</v>
      </c>
      <c r="D16" s="375"/>
      <c r="E16" s="375"/>
      <c r="F16" s="376"/>
      <c r="G16" s="377">
        <v>68</v>
      </c>
      <c r="H16" s="379">
        <v>67</v>
      </c>
      <c r="I16" s="381">
        <f t="shared" si="0"/>
        <v>0.9852941176470589</v>
      </c>
      <c r="M16" s="375"/>
    </row>
    <row r="17" spans="1:9" ht="13.5" thickBot="1">
      <c r="A17" s="367">
        <v>713</v>
      </c>
      <c r="B17" s="367"/>
      <c r="C17" s="368" t="s">
        <v>256</v>
      </c>
      <c r="D17" s="382"/>
      <c r="E17" s="382"/>
      <c r="F17" s="383"/>
      <c r="G17" s="371">
        <f>SUM(G13:G16)</f>
        <v>592</v>
      </c>
      <c r="H17" s="371">
        <f>H13+H14+H15+H16</f>
        <v>591</v>
      </c>
      <c r="I17" s="381">
        <f t="shared" si="0"/>
        <v>0.9983108108108109</v>
      </c>
    </row>
    <row r="18" spans="1:9" ht="13.5" thickBot="1">
      <c r="A18" s="373"/>
      <c r="B18" s="373">
        <v>714001</v>
      </c>
      <c r="C18" s="384" t="s">
        <v>257</v>
      </c>
      <c r="D18" s="385"/>
      <c r="E18" s="385"/>
      <c r="F18" s="386"/>
      <c r="G18" s="377">
        <v>4435</v>
      </c>
      <c r="H18" s="377">
        <v>4420</v>
      </c>
      <c r="I18" s="387">
        <f t="shared" si="0"/>
        <v>0.9966178128523112</v>
      </c>
    </row>
    <row r="19" spans="1:9" ht="13.5" thickBot="1">
      <c r="A19" s="367">
        <v>714</v>
      </c>
      <c r="B19" s="367"/>
      <c r="C19" s="368" t="s">
        <v>258</v>
      </c>
      <c r="D19" s="382"/>
      <c r="E19" s="382"/>
      <c r="F19" s="383"/>
      <c r="G19" s="388">
        <v>4435</v>
      </c>
      <c r="H19" s="388">
        <v>4420</v>
      </c>
      <c r="I19" s="389">
        <f t="shared" si="0"/>
        <v>0.9966178128523112</v>
      </c>
    </row>
    <row r="20" spans="1:9" ht="13.5" thickBot="1">
      <c r="A20" s="390"/>
      <c r="B20" s="391">
        <v>717002</v>
      </c>
      <c r="C20" s="384" t="s">
        <v>259</v>
      </c>
      <c r="D20" s="385"/>
      <c r="E20" s="385"/>
      <c r="F20" s="386"/>
      <c r="G20" s="392">
        <v>3862</v>
      </c>
      <c r="H20" s="393">
        <v>3855</v>
      </c>
      <c r="I20" s="366">
        <f t="shared" si="0"/>
        <v>0.9981874676333506</v>
      </c>
    </row>
    <row r="21" spans="1:9" ht="13.5" thickBot="1">
      <c r="A21" s="367">
        <v>717</v>
      </c>
      <c r="B21" s="367"/>
      <c r="C21" s="368" t="s">
        <v>260</v>
      </c>
      <c r="D21" s="382"/>
      <c r="E21" s="382"/>
      <c r="F21" s="383"/>
      <c r="G21" s="371">
        <v>3862</v>
      </c>
      <c r="H21" s="371">
        <v>3855</v>
      </c>
      <c r="I21" s="372">
        <f t="shared" si="0"/>
        <v>0.9981874676333506</v>
      </c>
    </row>
    <row r="22" spans="1:11" ht="13.5" thickBot="1">
      <c r="A22" s="394">
        <v>700</v>
      </c>
      <c r="B22" s="395"/>
      <c r="C22" s="396" t="s">
        <v>261</v>
      </c>
      <c r="D22" s="397"/>
      <c r="E22" s="397"/>
      <c r="F22" s="398"/>
      <c r="G22" s="399">
        <f>SUM(G12+G17+G19+G21)</f>
        <v>14860</v>
      </c>
      <c r="H22" s="399">
        <f>SUM(H12+H17+H19+H21)</f>
        <v>14837</v>
      </c>
      <c r="I22" s="400">
        <f t="shared" si="0"/>
        <v>0.9984522207267833</v>
      </c>
      <c r="K22" s="401"/>
    </row>
  </sheetData>
  <mergeCells count="6">
    <mergeCell ref="H9:H10"/>
    <mergeCell ref="I9:I10"/>
    <mergeCell ref="A9:A10"/>
    <mergeCell ref="B9:B10"/>
    <mergeCell ref="C9:F10"/>
    <mergeCell ref="G9:G1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82"/>
  <sheetViews>
    <sheetView workbookViewId="0" topLeftCell="A1">
      <selection activeCell="I21" sqref="I21"/>
    </sheetView>
  </sheetViews>
  <sheetFormatPr defaultColWidth="9.140625" defaultRowHeight="12.75"/>
  <cols>
    <col min="1" max="1" width="6.00390625" style="347" customWidth="1"/>
    <col min="2" max="2" width="10.421875" style="347" customWidth="1"/>
    <col min="3" max="3" width="30.00390625" style="347" customWidth="1"/>
    <col min="4" max="4" width="12.421875" style="347" customWidth="1"/>
    <col min="5" max="5" width="12.57421875" style="347" customWidth="1"/>
    <col min="6" max="6" width="12.421875" style="347" customWidth="1"/>
    <col min="7" max="16384" width="9.140625" style="347" customWidth="1"/>
  </cols>
  <sheetData>
    <row r="2" spans="1:6" ht="18">
      <c r="A2" s="574" t="s">
        <v>262</v>
      </c>
      <c r="B2" s="575"/>
      <c r="C2" s="575"/>
      <c r="D2" s="575"/>
      <c r="E2" s="575"/>
      <c r="F2" s="575"/>
    </row>
    <row r="3" spans="1:6" ht="18">
      <c r="A3" s="574" t="s">
        <v>240</v>
      </c>
      <c r="B3" s="575"/>
      <c r="C3" s="575"/>
      <c r="D3" s="575"/>
      <c r="E3" s="575"/>
      <c r="F3" s="575"/>
    </row>
    <row r="4" spans="1:6" ht="15.75">
      <c r="A4" s="576" t="s">
        <v>241</v>
      </c>
      <c r="B4" s="575"/>
      <c r="C4" s="575"/>
      <c r="D4" s="575"/>
      <c r="E4" s="575"/>
      <c r="F4" s="575"/>
    </row>
    <row r="5" spans="2:4" ht="18">
      <c r="B5" s="402"/>
      <c r="C5" s="403"/>
      <c r="D5" s="402"/>
    </row>
    <row r="6" spans="2:4" ht="18">
      <c r="B6" s="402"/>
      <c r="C6" s="403"/>
      <c r="D6" s="402"/>
    </row>
    <row r="7" spans="2:6" ht="18.75" thickBot="1">
      <c r="B7" s="402"/>
      <c r="C7" s="403"/>
      <c r="D7" s="402"/>
      <c r="F7" s="404" t="s">
        <v>263</v>
      </c>
    </row>
    <row r="8" spans="1:6" ht="12.75">
      <c r="A8" s="577" t="s">
        <v>244</v>
      </c>
      <c r="B8" s="577" t="s">
        <v>245</v>
      </c>
      <c r="C8" s="577" t="s">
        <v>246</v>
      </c>
      <c r="D8" s="572" t="s">
        <v>264</v>
      </c>
      <c r="E8" s="572" t="s">
        <v>248</v>
      </c>
      <c r="F8" s="572" t="s">
        <v>249</v>
      </c>
    </row>
    <row r="9" spans="1:6" ht="13.5" thickBot="1">
      <c r="A9" s="578"/>
      <c r="B9" s="578"/>
      <c r="C9" s="578"/>
      <c r="D9" s="573"/>
      <c r="E9" s="573"/>
      <c r="F9" s="573"/>
    </row>
    <row r="10" spans="1:6" ht="15.75" thickBot="1">
      <c r="A10" s="405">
        <v>610</v>
      </c>
      <c r="B10" s="406"/>
      <c r="C10" s="407" t="s">
        <v>265</v>
      </c>
      <c r="D10" s="408">
        <f>D11+D12+D13</f>
        <v>83005</v>
      </c>
      <c r="E10" s="409">
        <f>E11+E12+E13</f>
        <v>83005</v>
      </c>
      <c r="F10" s="410">
        <f aca="true" t="shared" si="0" ref="F10:F16">E10/D10</f>
        <v>1</v>
      </c>
    </row>
    <row r="11" spans="1:6" ht="15.75" thickBot="1">
      <c r="A11" s="411">
        <v>611</v>
      </c>
      <c r="B11" s="412"/>
      <c r="C11" s="413" t="s">
        <v>266</v>
      </c>
      <c r="D11" s="414">
        <v>57642</v>
      </c>
      <c r="E11" s="415">
        <v>57642</v>
      </c>
      <c r="F11" s="410">
        <f t="shared" si="0"/>
        <v>1</v>
      </c>
    </row>
    <row r="12" spans="1:6" ht="15.75" thickBot="1">
      <c r="A12" s="411">
        <v>612</v>
      </c>
      <c r="B12" s="412"/>
      <c r="C12" s="413" t="s">
        <v>267</v>
      </c>
      <c r="D12" s="414">
        <v>15482</v>
      </c>
      <c r="E12" s="415">
        <v>15482</v>
      </c>
      <c r="F12" s="410">
        <f t="shared" si="0"/>
        <v>1</v>
      </c>
    </row>
    <row r="13" spans="1:6" ht="15.75" thickBot="1">
      <c r="A13" s="411">
        <v>614</v>
      </c>
      <c r="B13" s="412"/>
      <c r="C13" s="413" t="s">
        <v>268</v>
      </c>
      <c r="D13" s="414">
        <v>9881</v>
      </c>
      <c r="E13" s="415">
        <v>9881</v>
      </c>
      <c r="F13" s="410">
        <f t="shared" si="0"/>
        <v>1</v>
      </c>
    </row>
    <row r="14" spans="1:6" ht="15.75" thickBot="1">
      <c r="A14" s="411">
        <v>620</v>
      </c>
      <c r="B14" s="412"/>
      <c r="C14" s="413" t="s">
        <v>269</v>
      </c>
      <c r="D14" s="414">
        <f>D15+D16+D17+D24</f>
        <v>27722</v>
      </c>
      <c r="E14" s="415">
        <f>E15+E16+E17+E24</f>
        <v>27694</v>
      </c>
      <c r="F14" s="410">
        <f t="shared" si="0"/>
        <v>0.9989899718635019</v>
      </c>
    </row>
    <row r="15" spans="1:6" ht="15.75" thickBot="1">
      <c r="A15" s="411">
        <v>621</v>
      </c>
      <c r="B15" s="412"/>
      <c r="C15" s="413" t="s">
        <v>270</v>
      </c>
      <c r="D15" s="414">
        <v>4319</v>
      </c>
      <c r="E15" s="415">
        <v>4312</v>
      </c>
      <c r="F15" s="410">
        <f t="shared" si="0"/>
        <v>0.9983792544570502</v>
      </c>
    </row>
    <row r="16" spans="1:6" ht="15.75" thickBot="1">
      <c r="A16" s="411">
        <v>622</v>
      </c>
      <c r="B16" s="412"/>
      <c r="C16" s="413" t="s">
        <v>271</v>
      </c>
      <c r="D16" s="414">
        <v>1635</v>
      </c>
      <c r="E16" s="415">
        <v>1634</v>
      </c>
      <c r="F16" s="410">
        <f t="shared" si="0"/>
        <v>0.999388379204893</v>
      </c>
    </row>
    <row r="17" spans="1:6" ht="15.75" thickBot="1">
      <c r="A17" s="416">
        <v>623</v>
      </c>
      <c r="B17" s="417"/>
      <c r="C17" s="418" t="s">
        <v>272</v>
      </c>
      <c r="D17" s="419">
        <v>1966</v>
      </c>
      <c r="E17" s="420">
        <v>1965</v>
      </c>
      <c r="F17" s="421">
        <f>E17/D17</f>
        <v>0.9994913530010173</v>
      </c>
    </row>
    <row r="18" spans="1:6" ht="15">
      <c r="A18" s="422"/>
      <c r="B18" s="423">
        <v>625001</v>
      </c>
      <c r="C18" s="423" t="s">
        <v>273</v>
      </c>
      <c r="D18" s="424">
        <v>993</v>
      </c>
      <c r="E18" s="425">
        <v>992</v>
      </c>
      <c r="F18" s="426">
        <f aca="true" t="shared" si="1" ref="F18:F49">E18/D18</f>
        <v>0.998992950654582</v>
      </c>
    </row>
    <row r="19" spans="1:6" ht="15">
      <c r="A19" s="427"/>
      <c r="B19" s="428">
        <v>625002</v>
      </c>
      <c r="C19" s="428" t="s">
        <v>274</v>
      </c>
      <c r="D19" s="429">
        <v>11268</v>
      </c>
      <c r="E19" s="430">
        <v>11268</v>
      </c>
      <c r="F19" s="431">
        <f t="shared" si="1"/>
        <v>1</v>
      </c>
    </row>
    <row r="20" spans="1:6" ht="15">
      <c r="A20" s="427"/>
      <c r="B20" s="428">
        <v>625003</v>
      </c>
      <c r="C20" s="428" t="s">
        <v>275</v>
      </c>
      <c r="D20" s="429">
        <v>668</v>
      </c>
      <c r="E20" s="432">
        <v>664</v>
      </c>
      <c r="F20" s="431">
        <f t="shared" si="1"/>
        <v>0.9940119760479041</v>
      </c>
    </row>
    <row r="21" spans="1:6" ht="15">
      <c r="A21" s="427"/>
      <c r="B21" s="428">
        <v>625004</v>
      </c>
      <c r="C21" s="428" t="s">
        <v>276</v>
      </c>
      <c r="D21" s="429">
        <v>2280</v>
      </c>
      <c r="E21" s="430">
        <v>2279</v>
      </c>
      <c r="F21" s="431">
        <f t="shared" si="1"/>
        <v>0.999561403508772</v>
      </c>
    </row>
    <row r="22" spans="1:6" ht="15">
      <c r="A22" s="427"/>
      <c r="B22" s="428">
        <v>625005</v>
      </c>
      <c r="C22" s="428" t="s">
        <v>277</v>
      </c>
      <c r="D22" s="429">
        <v>757</v>
      </c>
      <c r="E22" s="432">
        <v>755</v>
      </c>
      <c r="F22" s="431">
        <f t="shared" si="1"/>
        <v>0.9973579920739762</v>
      </c>
    </row>
    <row r="23" spans="1:6" ht="15.75" thickBot="1">
      <c r="A23" s="433"/>
      <c r="B23" s="434">
        <v>625007</v>
      </c>
      <c r="C23" s="434" t="s">
        <v>278</v>
      </c>
      <c r="D23" s="435">
        <v>3836</v>
      </c>
      <c r="E23" s="436">
        <v>3825</v>
      </c>
      <c r="F23" s="437">
        <v>0.196</v>
      </c>
    </row>
    <row r="24" spans="1:6" ht="15.75" thickBot="1">
      <c r="A24" s="416">
        <v>625</v>
      </c>
      <c r="B24" s="417"/>
      <c r="C24" s="418" t="s">
        <v>279</v>
      </c>
      <c r="D24" s="438">
        <f>SUM(D18:D23)</f>
        <v>19802</v>
      </c>
      <c r="E24" s="419">
        <f>SUM(E18:E23)</f>
        <v>19783</v>
      </c>
      <c r="F24" s="439">
        <f t="shared" si="1"/>
        <v>0.999040500959499</v>
      </c>
    </row>
    <row r="25" spans="1:6" ht="15">
      <c r="A25" s="416"/>
      <c r="B25" s="440">
        <v>631001</v>
      </c>
      <c r="C25" s="440" t="s">
        <v>280</v>
      </c>
      <c r="D25" s="441">
        <v>2079</v>
      </c>
      <c r="E25" s="441">
        <v>2078</v>
      </c>
      <c r="F25" s="426">
        <f t="shared" si="1"/>
        <v>0.9995189995189995</v>
      </c>
    </row>
    <row r="26" spans="1:6" ht="15.75" thickBot="1">
      <c r="A26" s="442"/>
      <c r="B26" s="443">
        <v>631002</v>
      </c>
      <c r="C26" s="443" t="s">
        <v>281</v>
      </c>
      <c r="D26" s="436">
        <v>662</v>
      </c>
      <c r="E26" s="444">
        <v>622</v>
      </c>
      <c r="F26" s="437">
        <f t="shared" si="1"/>
        <v>0.9395770392749244</v>
      </c>
    </row>
    <row r="27" spans="1:6" ht="15.75" thickBot="1">
      <c r="A27" s="416">
        <v>631</v>
      </c>
      <c r="B27" s="417"/>
      <c r="C27" s="418" t="s">
        <v>282</v>
      </c>
      <c r="D27" s="420">
        <f>SUM(D25:D26)</f>
        <v>2741</v>
      </c>
      <c r="E27" s="415">
        <f>E26+E25</f>
        <v>2700</v>
      </c>
      <c r="F27" s="445">
        <f t="shared" si="1"/>
        <v>0.9850419554906968</v>
      </c>
    </row>
    <row r="28" spans="1:6" ht="15">
      <c r="A28" s="416"/>
      <c r="B28" s="446">
        <v>632001</v>
      </c>
      <c r="C28" s="447" t="s">
        <v>283</v>
      </c>
      <c r="D28" s="424">
        <v>2600</v>
      </c>
      <c r="E28" s="441">
        <v>2580</v>
      </c>
      <c r="F28" s="426">
        <f t="shared" si="1"/>
        <v>0.9923076923076923</v>
      </c>
    </row>
    <row r="29" spans="1:6" ht="15">
      <c r="A29" s="405"/>
      <c r="B29" s="448">
        <v>632002</v>
      </c>
      <c r="C29" s="449" t="s">
        <v>284</v>
      </c>
      <c r="D29" s="429">
        <v>286</v>
      </c>
      <c r="E29" s="432">
        <v>282</v>
      </c>
      <c r="F29" s="431">
        <f t="shared" si="1"/>
        <v>0.986013986013986</v>
      </c>
    </row>
    <row r="30" spans="1:6" ht="15.75" thickBot="1">
      <c r="A30" s="442"/>
      <c r="B30" s="450">
        <v>632003</v>
      </c>
      <c r="C30" s="451" t="s">
        <v>285</v>
      </c>
      <c r="D30" s="452">
        <v>3020</v>
      </c>
      <c r="E30" s="452">
        <v>3013</v>
      </c>
      <c r="F30" s="453">
        <f t="shared" si="1"/>
        <v>0.997682119205298</v>
      </c>
    </row>
    <row r="31" spans="1:6" ht="15.75" thickBot="1">
      <c r="A31" s="405">
        <v>632</v>
      </c>
      <c r="B31" s="406"/>
      <c r="C31" s="407" t="s">
        <v>286</v>
      </c>
      <c r="D31" s="408">
        <f>SUM(D28:D30)</f>
        <v>5906</v>
      </c>
      <c r="E31" s="408">
        <f>SUM(E28:E30)</f>
        <v>5875</v>
      </c>
      <c r="F31" s="454">
        <f t="shared" si="1"/>
        <v>0.9947511005756857</v>
      </c>
    </row>
    <row r="32" spans="1:6" ht="14.25">
      <c r="A32" s="455"/>
      <c r="B32" s="446">
        <v>633001</v>
      </c>
      <c r="C32" s="447" t="s">
        <v>287</v>
      </c>
      <c r="D32" s="424">
        <v>477</v>
      </c>
      <c r="E32" s="441">
        <v>477</v>
      </c>
      <c r="F32" s="426">
        <f t="shared" si="1"/>
        <v>1</v>
      </c>
    </row>
    <row r="33" spans="1:6" ht="14.25">
      <c r="A33" s="456"/>
      <c r="B33" s="448">
        <v>633002</v>
      </c>
      <c r="C33" s="449" t="s">
        <v>253</v>
      </c>
      <c r="D33" s="429">
        <v>500</v>
      </c>
      <c r="E33" s="430">
        <v>497</v>
      </c>
      <c r="F33" s="431">
        <f t="shared" si="1"/>
        <v>0.994</v>
      </c>
    </row>
    <row r="34" spans="1:6" ht="14.25">
      <c r="A34" s="456"/>
      <c r="B34" s="448">
        <v>633003</v>
      </c>
      <c r="C34" s="449" t="s">
        <v>254</v>
      </c>
      <c r="D34" s="429">
        <v>50</v>
      </c>
      <c r="E34" s="432">
        <v>11</v>
      </c>
      <c r="F34" s="431">
        <f t="shared" si="1"/>
        <v>0.22</v>
      </c>
    </row>
    <row r="35" spans="1:6" ht="14.25">
      <c r="A35" s="456"/>
      <c r="B35" s="448">
        <v>633004</v>
      </c>
      <c r="C35" s="449" t="s">
        <v>288</v>
      </c>
      <c r="D35" s="429">
        <v>212</v>
      </c>
      <c r="E35" s="430">
        <v>194</v>
      </c>
      <c r="F35" s="431">
        <f t="shared" si="1"/>
        <v>0.9150943396226415</v>
      </c>
    </row>
    <row r="36" spans="1:6" ht="14.25">
      <c r="A36" s="456"/>
      <c r="B36" s="448">
        <v>633006</v>
      </c>
      <c r="C36" s="449" t="s">
        <v>289</v>
      </c>
      <c r="D36" s="429">
        <v>1901</v>
      </c>
      <c r="E36" s="430">
        <v>1900</v>
      </c>
      <c r="F36" s="431">
        <f t="shared" si="1"/>
        <v>0.9994739610731194</v>
      </c>
    </row>
    <row r="37" spans="1:6" ht="14.25">
      <c r="A37" s="456"/>
      <c r="B37" s="448">
        <v>633009</v>
      </c>
      <c r="C37" s="449" t="s">
        <v>290</v>
      </c>
      <c r="D37" s="429">
        <v>615</v>
      </c>
      <c r="E37" s="432">
        <v>614</v>
      </c>
      <c r="F37" s="431">
        <f t="shared" si="1"/>
        <v>0.9983739837398374</v>
      </c>
    </row>
    <row r="38" spans="1:6" ht="14.25">
      <c r="A38" s="456"/>
      <c r="B38" s="448">
        <v>633010</v>
      </c>
      <c r="C38" s="449" t="s">
        <v>291</v>
      </c>
      <c r="D38" s="429">
        <v>0</v>
      </c>
      <c r="E38" s="432">
        <v>0</v>
      </c>
      <c r="F38" s="431">
        <v>0</v>
      </c>
    </row>
    <row r="39" spans="1:6" ht="14.25">
      <c r="A39" s="456"/>
      <c r="B39" s="448">
        <v>633013</v>
      </c>
      <c r="C39" s="449" t="s">
        <v>292</v>
      </c>
      <c r="D39" s="429">
        <v>0</v>
      </c>
      <c r="E39" s="432">
        <v>0</v>
      </c>
      <c r="F39" s="431">
        <v>0</v>
      </c>
    </row>
    <row r="40" spans="1:6" ht="14.25">
      <c r="A40" s="456"/>
      <c r="B40" s="448">
        <v>633015</v>
      </c>
      <c r="C40" s="449" t="s">
        <v>293</v>
      </c>
      <c r="D40" s="429">
        <v>10</v>
      </c>
      <c r="E40" s="432">
        <v>6</v>
      </c>
      <c r="F40" s="431">
        <f t="shared" si="1"/>
        <v>0.6</v>
      </c>
    </row>
    <row r="41" spans="1:6" ht="15" thickBot="1">
      <c r="A41" s="457"/>
      <c r="B41" s="450">
        <v>633016</v>
      </c>
      <c r="C41" s="451" t="s">
        <v>294</v>
      </c>
      <c r="D41" s="452">
        <v>90</v>
      </c>
      <c r="E41" s="444">
        <v>86</v>
      </c>
      <c r="F41" s="437">
        <f t="shared" si="1"/>
        <v>0.9555555555555556</v>
      </c>
    </row>
    <row r="42" spans="1:6" ht="15.75" thickBot="1">
      <c r="A42" s="411">
        <v>633</v>
      </c>
      <c r="B42" s="412"/>
      <c r="C42" s="412" t="s">
        <v>295</v>
      </c>
      <c r="D42" s="414">
        <f>SUM(D32:D41)</f>
        <v>3855</v>
      </c>
      <c r="E42" s="414">
        <f>SUM(E32:E41)</f>
        <v>3785</v>
      </c>
      <c r="F42" s="454">
        <f t="shared" si="1"/>
        <v>0.9818417639429312</v>
      </c>
    </row>
    <row r="43" spans="1:6" ht="14.25">
      <c r="A43" s="455"/>
      <c r="B43" s="446">
        <v>634001</v>
      </c>
      <c r="C43" s="447" t="s">
        <v>296</v>
      </c>
      <c r="D43" s="424">
        <v>2341</v>
      </c>
      <c r="E43" s="441">
        <v>2300</v>
      </c>
      <c r="F43" s="426">
        <f t="shared" si="1"/>
        <v>0.9824861170439982</v>
      </c>
    </row>
    <row r="44" spans="1:6" ht="14.25">
      <c r="A44" s="456"/>
      <c r="B44" s="448">
        <v>634002</v>
      </c>
      <c r="C44" s="449" t="s">
        <v>297</v>
      </c>
      <c r="D44" s="429">
        <v>1237</v>
      </c>
      <c r="E44" s="430">
        <v>1195</v>
      </c>
      <c r="F44" s="431">
        <f t="shared" si="1"/>
        <v>0.9660468876313663</v>
      </c>
    </row>
    <row r="45" spans="1:6" ht="14.25">
      <c r="A45" s="456"/>
      <c r="B45" s="448">
        <v>634003</v>
      </c>
      <c r="C45" s="449" t="s">
        <v>298</v>
      </c>
      <c r="D45" s="429">
        <v>468</v>
      </c>
      <c r="E45" s="432">
        <v>458</v>
      </c>
      <c r="F45" s="431">
        <f t="shared" si="1"/>
        <v>0.9786324786324786</v>
      </c>
    </row>
    <row r="46" spans="1:6" ht="14.25">
      <c r="A46" s="456"/>
      <c r="B46" s="448">
        <v>634004</v>
      </c>
      <c r="C46" s="449" t="s">
        <v>299</v>
      </c>
      <c r="D46" s="429">
        <v>0</v>
      </c>
      <c r="E46" s="432">
        <v>0</v>
      </c>
      <c r="F46" s="431">
        <v>0</v>
      </c>
    </row>
    <row r="47" spans="1:6" ht="14.25">
      <c r="A47" s="456"/>
      <c r="B47" s="448">
        <v>634005</v>
      </c>
      <c r="C47" s="449" t="s">
        <v>300</v>
      </c>
      <c r="D47" s="429">
        <v>60</v>
      </c>
      <c r="E47" s="432">
        <v>55</v>
      </c>
      <c r="F47" s="431">
        <f t="shared" si="1"/>
        <v>0.9166666666666666</v>
      </c>
    </row>
    <row r="48" spans="1:6" ht="15" thickBot="1">
      <c r="A48" s="457"/>
      <c r="B48" s="450">
        <v>634006</v>
      </c>
      <c r="C48" s="451" t="s">
        <v>301</v>
      </c>
      <c r="D48" s="452">
        <v>0</v>
      </c>
      <c r="E48" s="444">
        <v>0</v>
      </c>
      <c r="F48" s="431">
        <v>0</v>
      </c>
    </row>
    <row r="49" spans="1:6" ht="15.75" thickBot="1">
      <c r="A49" s="411">
        <v>634</v>
      </c>
      <c r="B49" s="412"/>
      <c r="C49" s="413" t="s">
        <v>302</v>
      </c>
      <c r="D49" s="414">
        <f>SUM(D43:D48)</f>
        <v>4106</v>
      </c>
      <c r="E49" s="414">
        <f>SUM(E43:E48)</f>
        <v>4008</v>
      </c>
      <c r="F49" s="454">
        <f t="shared" si="1"/>
        <v>0.9761324890404286</v>
      </c>
    </row>
    <row r="50" spans="1:6" ht="14.25">
      <c r="A50" s="458"/>
      <c r="B50" s="440">
        <v>635001</v>
      </c>
      <c r="C50" s="440" t="s">
        <v>287</v>
      </c>
      <c r="D50" s="441">
        <v>2</v>
      </c>
      <c r="E50" s="441">
        <v>2</v>
      </c>
      <c r="F50" s="459">
        <v>0</v>
      </c>
    </row>
    <row r="51" spans="1:6" ht="14.25">
      <c r="A51" s="460"/>
      <c r="B51" s="461">
        <v>635002</v>
      </c>
      <c r="C51" s="461" t="s">
        <v>303</v>
      </c>
      <c r="D51" s="430">
        <v>6138</v>
      </c>
      <c r="E51" s="430">
        <v>6084</v>
      </c>
      <c r="F51" s="462">
        <f aca="true" t="shared" si="2" ref="F51:F60">E51/D51</f>
        <v>0.9912023460410557</v>
      </c>
    </row>
    <row r="52" spans="1:6" ht="14.25">
      <c r="A52" s="460"/>
      <c r="B52" s="461">
        <v>635003</v>
      </c>
      <c r="C52" s="461" t="s">
        <v>304</v>
      </c>
      <c r="D52" s="430">
        <v>50</v>
      </c>
      <c r="E52" s="432">
        <v>34</v>
      </c>
      <c r="F52" s="462">
        <f t="shared" si="2"/>
        <v>0.68</v>
      </c>
    </row>
    <row r="53" spans="1:6" ht="14.25">
      <c r="A53" s="460"/>
      <c r="B53" s="461">
        <v>635004</v>
      </c>
      <c r="C53" s="461" t="s">
        <v>305</v>
      </c>
      <c r="D53" s="430">
        <v>848</v>
      </c>
      <c r="E53" s="432">
        <v>847</v>
      </c>
      <c r="F53" s="462">
        <f t="shared" si="2"/>
        <v>0.9988207547169812</v>
      </c>
    </row>
    <row r="54" spans="1:6" ht="14.25">
      <c r="A54" s="460"/>
      <c r="B54" s="461">
        <v>635005</v>
      </c>
      <c r="C54" s="461" t="s">
        <v>306</v>
      </c>
      <c r="D54" s="430">
        <v>160</v>
      </c>
      <c r="E54" s="432">
        <v>112</v>
      </c>
      <c r="F54" s="462">
        <f t="shared" si="2"/>
        <v>0.7</v>
      </c>
    </row>
    <row r="55" spans="1:6" ht="15" thickBot="1">
      <c r="A55" s="460"/>
      <c r="B55" s="461">
        <v>635006</v>
      </c>
      <c r="C55" s="461" t="s">
        <v>307</v>
      </c>
      <c r="D55" s="430">
        <v>522</v>
      </c>
      <c r="E55" s="444">
        <v>521</v>
      </c>
      <c r="F55" s="463">
        <f t="shared" si="2"/>
        <v>0.9980842911877394</v>
      </c>
    </row>
    <row r="56" spans="1:6" ht="15.75" thickBot="1">
      <c r="A56" s="411">
        <v>635</v>
      </c>
      <c r="B56" s="412"/>
      <c r="C56" s="412" t="s">
        <v>308</v>
      </c>
      <c r="D56" s="415">
        <f>SUM(D50:D55)</f>
        <v>7720</v>
      </c>
      <c r="E56" s="415">
        <f>SUM(E50:E55)</f>
        <v>7600</v>
      </c>
      <c r="F56" s="462">
        <f t="shared" si="2"/>
        <v>0.9844559585492227</v>
      </c>
    </row>
    <row r="57" spans="1:6" ht="15">
      <c r="A57" s="416"/>
      <c r="B57" s="446">
        <v>636001</v>
      </c>
      <c r="C57" s="447" t="s">
        <v>307</v>
      </c>
      <c r="D57" s="441">
        <v>2305</v>
      </c>
      <c r="E57" s="441">
        <v>2264</v>
      </c>
      <c r="F57" s="459">
        <f t="shared" si="2"/>
        <v>0.9822125813449024</v>
      </c>
    </row>
    <row r="58" spans="1:6" ht="15.75" thickBot="1">
      <c r="A58" s="442"/>
      <c r="B58" s="450">
        <v>636002</v>
      </c>
      <c r="C58" s="451" t="s">
        <v>305</v>
      </c>
      <c r="D58" s="436">
        <v>10</v>
      </c>
      <c r="E58" s="444">
        <v>7</v>
      </c>
      <c r="F58" s="463">
        <f t="shared" si="2"/>
        <v>0.7</v>
      </c>
    </row>
    <row r="59" spans="1:6" ht="15.75" thickBot="1">
      <c r="A59" s="411">
        <v>636</v>
      </c>
      <c r="B59" s="464"/>
      <c r="C59" s="413" t="s">
        <v>309</v>
      </c>
      <c r="D59" s="415">
        <f>SUM(D57:D58)</f>
        <v>2315</v>
      </c>
      <c r="E59" s="415">
        <f>SUM(E57:E58)</f>
        <v>2271</v>
      </c>
      <c r="F59" s="465">
        <f t="shared" si="2"/>
        <v>0.9809935205183585</v>
      </c>
    </row>
    <row r="60" spans="1:6" ht="15">
      <c r="A60" s="416"/>
      <c r="B60" s="446">
        <v>637001</v>
      </c>
      <c r="C60" s="447" t="s">
        <v>310</v>
      </c>
      <c r="D60" s="424">
        <v>1280</v>
      </c>
      <c r="E60" s="466">
        <v>1277</v>
      </c>
      <c r="F60" s="467">
        <f t="shared" si="2"/>
        <v>0.99765625</v>
      </c>
    </row>
    <row r="61" spans="1:6" ht="15">
      <c r="A61" s="405"/>
      <c r="B61" s="448">
        <v>637003</v>
      </c>
      <c r="C61" s="449" t="s">
        <v>311</v>
      </c>
      <c r="D61" s="429">
        <v>670</v>
      </c>
      <c r="E61" s="468">
        <v>658</v>
      </c>
      <c r="F61" s="469">
        <f aca="true" t="shared" si="3" ref="F61:F72">E61/D61</f>
        <v>0.982089552238806</v>
      </c>
    </row>
    <row r="62" spans="1:6" ht="15">
      <c r="A62" s="405"/>
      <c r="B62" s="448">
        <v>637004</v>
      </c>
      <c r="C62" s="449" t="s">
        <v>312</v>
      </c>
      <c r="D62" s="429">
        <v>2348</v>
      </c>
      <c r="E62" s="470">
        <v>2348</v>
      </c>
      <c r="F62" s="469">
        <f t="shared" si="3"/>
        <v>1</v>
      </c>
    </row>
    <row r="63" spans="1:6" ht="14.25">
      <c r="A63" s="460"/>
      <c r="B63" s="448">
        <v>637005</v>
      </c>
      <c r="C63" s="449" t="s">
        <v>313</v>
      </c>
      <c r="D63" s="429">
        <v>550</v>
      </c>
      <c r="E63" s="429">
        <v>525</v>
      </c>
      <c r="F63" s="469">
        <f t="shared" si="3"/>
        <v>0.9545454545454546</v>
      </c>
    </row>
    <row r="64" spans="1:6" ht="14.25">
      <c r="A64" s="460"/>
      <c r="B64" s="448">
        <v>637006</v>
      </c>
      <c r="C64" s="449" t="s">
        <v>314</v>
      </c>
      <c r="D64" s="429">
        <v>8</v>
      </c>
      <c r="E64" s="429">
        <v>7</v>
      </c>
      <c r="F64" s="469">
        <f t="shared" si="3"/>
        <v>0.875</v>
      </c>
    </row>
    <row r="65" spans="1:6" ht="14.25">
      <c r="A65" s="460"/>
      <c r="B65" s="448">
        <v>637009</v>
      </c>
      <c r="C65" s="449" t="s">
        <v>315</v>
      </c>
      <c r="D65" s="429">
        <v>0</v>
      </c>
      <c r="E65" s="429">
        <v>0</v>
      </c>
      <c r="F65" s="469">
        <v>0</v>
      </c>
    </row>
    <row r="66" spans="1:6" ht="14.25">
      <c r="A66" s="460"/>
      <c r="B66" s="448">
        <v>637011</v>
      </c>
      <c r="C66" s="449" t="s">
        <v>316</v>
      </c>
      <c r="D66" s="429">
        <v>10</v>
      </c>
      <c r="E66" s="468">
        <v>4</v>
      </c>
      <c r="F66" s="469">
        <f t="shared" si="3"/>
        <v>0.4</v>
      </c>
    </row>
    <row r="67" spans="1:6" ht="14.25">
      <c r="A67" s="460"/>
      <c r="B67" s="448">
        <v>637012</v>
      </c>
      <c r="C67" s="449" t="s">
        <v>317</v>
      </c>
      <c r="D67" s="429">
        <v>525</v>
      </c>
      <c r="E67" s="468">
        <v>524</v>
      </c>
      <c r="F67" s="469">
        <f t="shared" si="3"/>
        <v>0.9980952380952381</v>
      </c>
    </row>
    <row r="68" spans="1:6" ht="14.25">
      <c r="A68" s="460"/>
      <c r="B68" s="448">
        <v>637014</v>
      </c>
      <c r="C68" s="449" t="s">
        <v>318</v>
      </c>
      <c r="D68" s="429">
        <v>2000</v>
      </c>
      <c r="E68" s="429">
        <v>1970</v>
      </c>
      <c r="F68" s="469">
        <f t="shared" si="3"/>
        <v>0.985</v>
      </c>
    </row>
    <row r="69" spans="1:6" ht="14.25">
      <c r="A69" s="460"/>
      <c r="B69" s="448">
        <v>637015</v>
      </c>
      <c r="C69" s="449" t="s">
        <v>298</v>
      </c>
      <c r="D69" s="429">
        <v>100</v>
      </c>
      <c r="E69" s="468">
        <v>98</v>
      </c>
      <c r="F69" s="469">
        <f t="shared" si="3"/>
        <v>0.98</v>
      </c>
    </row>
    <row r="70" spans="1:6" ht="14.25">
      <c r="A70" s="460"/>
      <c r="B70" s="448">
        <v>637016</v>
      </c>
      <c r="C70" s="449" t="s">
        <v>319</v>
      </c>
      <c r="D70" s="429">
        <v>1012</v>
      </c>
      <c r="E70" s="429">
        <v>1005</v>
      </c>
      <c r="F70" s="469">
        <f t="shared" si="3"/>
        <v>0.9930830039525692</v>
      </c>
    </row>
    <row r="71" spans="1:6" ht="14.25">
      <c r="A71" s="460"/>
      <c r="B71" s="448">
        <v>637023</v>
      </c>
      <c r="C71" s="449" t="s">
        <v>320</v>
      </c>
      <c r="D71" s="429">
        <v>10</v>
      </c>
      <c r="E71" s="468">
        <v>0</v>
      </c>
      <c r="F71" s="469">
        <f t="shared" si="3"/>
        <v>0</v>
      </c>
    </row>
    <row r="72" spans="1:6" ht="14.25">
      <c r="A72" s="460"/>
      <c r="B72" s="448">
        <v>637027</v>
      </c>
      <c r="C72" s="449" t="s">
        <v>321</v>
      </c>
      <c r="D72" s="429">
        <v>50</v>
      </c>
      <c r="E72" s="468">
        <v>48</v>
      </c>
      <c r="F72" s="469">
        <f t="shared" si="3"/>
        <v>0.96</v>
      </c>
    </row>
    <row r="73" spans="1:6" ht="14.25">
      <c r="A73" s="460"/>
      <c r="B73" s="448">
        <v>637030</v>
      </c>
      <c r="C73" s="449" t="s">
        <v>322</v>
      </c>
      <c r="D73" s="429">
        <v>0</v>
      </c>
      <c r="E73" s="468">
        <v>0</v>
      </c>
      <c r="F73" s="469">
        <v>0</v>
      </c>
    </row>
    <row r="74" spans="1:6" ht="14.25">
      <c r="A74" s="471"/>
      <c r="B74" s="461">
        <v>637032</v>
      </c>
      <c r="C74" s="461" t="s">
        <v>323</v>
      </c>
      <c r="D74" s="472">
        <v>0</v>
      </c>
      <c r="E74" s="430">
        <v>0</v>
      </c>
      <c r="F74" s="462">
        <v>0</v>
      </c>
    </row>
    <row r="75" spans="1:6" ht="15" thickBot="1">
      <c r="A75" s="473"/>
      <c r="B75" s="443">
        <v>637035</v>
      </c>
      <c r="C75" s="443" t="s">
        <v>324</v>
      </c>
      <c r="D75" s="436">
        <v>318</v>
      </c>
      <c r="E75" s="474">
        <v>318</v>
      </c>
      <c r="F75" s="475">
        <f>E75/D75</f>
        <v>1</v>
      </c>
    </row>
    <row r="76" spans="1:6" ht="15.75" thickBot="1">
      <c r="A76" s="442">
        <v>637</v>
      </c>
      <c r="B76" s="476"/>
      <c r="C76" s="476" t="s">
        <v>43</v>
      </c>
      <c r="D76" s="477">
        <f>SUM(D60:D75)</f>
        <v>8881</v>
      </c>
      <c r="E76" s="477">
        <f>SUM(E60:E75)</f>
        <v>8782</v>
      </c>
      <c r="F76" s="475">
        <f aca="true" t="shared" si="4" ref="F76:F81">E76/D76</f>
        <v>0.988852606688436</v>
      </c>
    </row>
    <row r="77" spans="1:9" ht="15.75" thickBot="1">
      <c r="A77" s="416">
        <v>630</v>
      </c>
      <c r="B77" s="417"/>
      <c r="C77" s="417" t="s">
        <v>325</v>
      </c>
      <c r="D77" s="419">
        <f>D76+D59+D56+D49+D42+D31+D27</f>
        <v>35524</v>
      </c>
      <c r="E77" s="419">
        <f>E76+E59+E56+E49+E42+E31+E27</f>
        <v>35021</v>
      </c>
      <c r="F77" s="475">
        <f t="shared" si="4"/>
        <v>0.9858405584956649</v>
      </c>
      <c r="I77" s="401"/>
    </row>
    <row r="78" spans="1:6" ht="15">
      <c r="A78" s="422"/>
      <c r="B78" s="423">
        <v>642012</v>
      </c>
      <c r="C78" s="423" t="s">
        <v>326</v>
      </c>
      <c r="D78" s="424">
        <v>137</v>
      </c>
      <c r="E78" s="441">
        <v>137</v>
      </c>
      <c r="F78" s="459">
        <f t="shared" si="4"/>
        <v>1</v>
      </c>
    </row>
    <row r="79" spans="1:6" ht="15">
      <c r="A79" s="427"/>
      <c r="B79" s="428">
        <v>642013</v>
      </c>
      <c r="C79" s="428" t="s">
        <v>327</v>
      </c>
      <c r="D79" s="429">
        <v>294</v>
      </c>
      <c r="E79" s="432">
        <v>294</v>
      </c>
      <c r="F79" s="462">
        <f t="shared" si="4"/>
        <v>1</v>
      </c>
    </row>
    <row r="80" spans="1:6" ht="15.75" thickBot="1">
      <c r="A80" s="433"/>
      <c r="B80" s="434">
        <v>642029</v>
      </c>
      <c r="C80" s="434" t="s">
        <v>328</v>
      </c>
      <c r="D80" s="452">
        <v>169</v>
      </c>
      <c r="E80" s="444">
        <v>162</v>
      </c>
      <c r="F80" s="463">
        <f t="shared" si="4"/>
        <v>0.9585798816568047</v>
      </c>
    </row>
    <row r="81" spans="1:6" ht="15.75" thickBot="1">
      <c r="A81" s="405">
        <v>640</v>
      </c>
      <c r="B81" s="406"/>
      <c r="C81" s="406" t="s">
        <v>329</v>
      </c>
      <c r="D81" s="408">
        <f>D80+D79+D78</f>
        <v>600</v>
      </c>
      <c r="E81" s="408">
        <f>E80+E79+E78</f>
        <v>593</v>
      </c>
      <c r="F81" s="475">
        <f t="shared" si="4"/>
        <v>0.9883333333333333</v>
      </c>
    </row>
    <row r="82" spans="1:6" ht="15.75" thickBot="1">
      <c r="A82" s="478">
        <v>600</v>
      </c>
      <c r="B82" s="412"/>
      <c r="C82" s="412" t="s">
        <v>330</v>
      </c>
      <c r="D82" s="414">
        <f>D81+D77+D14+D10</f>
        <v>146851</v>
      </c>
      <c r="E82" s="414">
        <f>E81+E77+E14+E10</f>
        <v>146313</v>
      </c>
      <c r="F82" s="475">
        <f>E82/D82</f>
        <v>0.9963364226324642</v>
      </c>
    </row>
  </sheetData>
  <mergeCells count="9">
    <mergeCell ref="F8:F9"/>
    <mergeCell ref="A2:F2"/>
    <mergeCell ref="A3:F3"/>
    <mergeCell ref="A4:F4"/>
    <mergeCell ref="A8:A9"/>
    <mergeCell ref="B8:B9"/>
    <mergeCell ref="C8:C9"/>
    <mergeCell ref="D8:D9"/>
    <mergeCell ref="E8:E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0"/>
  <sheetViews>
    <sheetView workbookViewId="0" topLeftCell="A1">
      <selection activeCell="K19" sqref="K19"/>
    </sheetView>
  </sheetViews>
  <sheetFormatPr defaultColWidth="9.140625" defaultRowHeight="12.75"/>
  <cols>
    <col min="1" max="1" width="6.8515625" style="347" customWidth="1"/>
    <col min="2" max="2" width="9.140625" style="347" customWidth="1"/>
    <col min="3" max="3" width="29.7109375" style="347" customWidth="1"/>
    <col min="4" max="4" width="11.57421875" style="347" customWidth="1"/>
    <col min="5" max="5" width="13.421875" style="347" customWidth="1"/>
    <col min="6" max="16384" width="9.140625" style="347" customWidth="1"/>
  </cols>
  <sheetData>
    <row r="2" spans="2:4" ht="14.25">
      <c r="B2" s="479"/>
      <c r="C2" s="479"/>
      <c r="D2" s="479"/>
    </row>
    <row r="3" spans="1:6" ht="18">
      <c r="A3" s="574" t="s">
        <v>331</v>
      </c>
      <c r="B3" s="575"/>
      <c r="C3" s="575"/>
      <c r="D3" s="575"/>
      <c r="E3" s="575"/>
      <c r="F3" s="575"/>
    </row>
    <row r="4" spans="1:6" ht="18">
      <c r="A4" s="574" t="s">
        <v>332</v>
      </c>
      <c r="B4" s="575"/>
      <c r="C4" s="575"/>
      <c r="D4" s="575"/>
      <c r="E4" s="575"/>
      <c r="F4" s="575"/>
    </row>
    <row r="5" spans="1:6" ht="18">
      <c r="A5" s="579" t="s">
        <v>241</v>
      </c>
      <c r="B5" s="579"/>
      <c r="C5" s="579"/>
      <c r="D5" s="579"/>
      <c r="E5" s="579"/>
      <c r="F5" s="579"/>
    </row>
    <row r="6" spans="2:4" ht="15.75">
      <c r="B6" s="479"/>
      <c r="C6" s="403"/>
      <c r="D6" s="479"/>
    </row>
    <row r="7" spans="2:4" ht="14.25">
      <c r="B7" s="479"/>
      <c r="C7" s="479"/>
      <c r="D7" s="479"/>
    </row>
    <row r="8" spans="2:4" ht="14.25">
      <c r="B8" s="479"/>
      <c r="C8" s="479"/>
      <c r="D8" s="479"/>
    </row>
    <row r="9" spans="2:6" ht="15.75" thickBot="1">
      <c r="B9" s="480"/>
      <c r="C9" s="481"/>
      <c r="D9" s="482"/>
      <c r="F9" s="347" t="s">
        <v>333</v>
      </c>
    </row>
    <row r="10" spans="1:6" ht="12.75">
      <c r="A10" s="577" t="s">
        <v>244</v>
      </c>
      <c r="B10" s="577" t="s">
        <v>245</v>
      </c>
      <c r="C10" s="577" t="s">
        <v>246</v>
      </c>
      <c r="D10" s="572" t="s">
        <v>334</v>
      </c>
      <c r="E10" s="572" t="s">
        <v>248</v>
      </c>
      <c r="F10" s="572" t="s">
        <v>249</v>
      </c>
    </row>
    <row r="11" spans="1:6" ht="13.5" thickBot="1">
      <c r="A11" s="580"/>
      <c r="B11" s="580"/>
      <c r="C11" s="580"/>
      <c r="D11" s="573"/>
      <c r="E11" s="573"/>
      <c r="F11" s="573"/>
    </row>
    <row r="12" spans="1:6" ht="15.75" thickBot="1">
      <c r="A12" s="442">
        <v>630</v>
      </c>
      <c r="B12" s="443"/>
      <c r="C12" s="476" t="s">
        <v>325</v>
      </c>
      <c r="D12" s="477">
        <v>9200</v>
      </c>
      <c r="E12" s="483">
        <v>9177</v>
      </c>
      <c r="F12" s="484">
        <f aca="true" t="shared" si="0" ref="F12:F17">E12/D12</f>
        <v>0.9975</v>
      </c>
    </row>
    <row r="13" spans="1:6" ht="15.75" thickBot="1">
      <c r="A13" s="411">
        <v>637</v>
      </c>
      <c r="B13" s="485"/>
      <c r="C13" s="412" t="s">
        <v>43</v>
      </c>
      <c r="D13" s="414">
        <v>9200</v>
      </c>
      <c r="E13" s="415">
        <v>9177</v>
      </c>
      <c r="F13" s="484">
        <f t="shared" si="0"/>
        <v>0.9975</v>
      </c>
    </row>
    <row r="14" spans="1:6" ht="15">
      <c r="A14" s="422"/>
      <c r="B14" s="423">
        <v>637001</v>
      </c>
      <c r="C14" s="423" t="s">
        <v>335</v>
      </c>
      <c r="D14" s="441">
        <v>0</v>
      </c>
      <c r="E14" s="486">
        <v>0</v>
      </c>
      <c r="F14" s="487">
        <v>0</v>
      </c>
    </row>
    <row r="15" spans="1:6" ht="15">
      <c r="A15" s="427"/>
      <c r="B15" s="428">
        <v>637005</v>
      </c>
      <c r="C15" s="428" t="s">
        <v>313</v>
      </c>
      <c r="D15" s="430">
        <v>0</v>
      </c>
      <c r="E15" s="488">
        <v>0</v>
      </c>
      <c r="F15" s="489">
        <v>0</v>
      </c>
    </row>
    <row r="16" spans="1:6" ht="15.75" thickBot="1">
      <c r="A16" s="433"/>
      <c r="B16" s="434">
        <v>637011</v>
      </c>
      <c r="C16" s="434" t="s">
        <v>316</v>
      </c>
      <c r="D16" s="436">
        <v>9200</v>
      </c>
      <c r="E16" s="490">
        <v>9177</v>
      </c>
      <c r="F16" s="491">
        <f t="shared" si="0"/>
        <v>0.9975</v>
      </c>
    </row>
    <row r="17" spans="1:6" ht="15.75" thickBot="1">
      <c r="A17" s="411">
        <v>600</v>
      </c>
      <c r="B17" s="412"/>
      <c r="C17" s="412" t="s">
        <v>336</v>
      </c>
      <c r="D17" s="414">
        <f>SUM(D14:D16)</f>
        <v>9200</v>
      </c>
      <c r="E17" s="415">
        <f>SUM(E14:E16)</f>
        <v>9177</v>
      </c>
      <c r="F17" s="492">
        <f t="shared" si="0"/>
        <v>0.9975</v>
      </c>
    </row>
    <row r="53" spans="2:4" ht="14.25">
      <c r="B53" s="479"/>
      <c r="C53" s="479"/>
      <c r="D53" s="479"/>
    </row>
    <row r="54" spans="2:4" ht="18">
      <c r="B54" s="479"/>
      <c r="C54" s="402"/>
      <c r="D54" s="479"/>
    </row>
    <row r="55" spans="2:4" ht="18">
      <c r="B55" s="479"/>
      <c r="C55" s="402"/>
      <c r="D55" s="479"/>
    </row>
    <row r="56" spans="2:4" ht="14.25">
      <c r="B56" s="479"/>
      <c r="C56" s="479"/>
      <c r="D56" s="479"/>
    </row>
    <row r="57" spans="2:4" ht="15.75">
      <c r="B57" s="479"/>
      <c r="C57" s="403"/>
      <c r="D57" s="479"/>
    </row>
    <row r="58" spans="2:4" ht="14.25">
      <c r="B58" s="479"/>
      <c r="C58" s="479"/>
      <c r="D58" s="479"/>
    </row>
    <row r="59" spans="2:4" ht="14.25">
      <c r="B59" s="479"/>
      <c r="C59" s="479"/>
      <c r="D59" s="479"/>
    </row>
    <row r="60" spans="2:4" ht="15">
      <c r="B60" s="480"/>
      <c r="C60" s="481"/>
      <c r="D60" s="482"/>
    </row>
  </sheetData>
  <mergeCells count="9">
    <mergeCell ref="A3:F3"/>
    <mergeCell ref="A4:F4"/>
    <mergeCell ref="A5:F5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V22"/>
  <sheetViews>
    <sheetView zoomScale="75" zoomScaleNormal="75" workbookViewId="0" topLeftCell="A2">
      <selection activeCell="F6" sqref="F6:P6"/>
    </sheetView>
  </sheetViews>
  <sheetFormatPr defaultColWidth="9.140625" defaultRowHeight="12.75"/>
  <cols>
    <col min="1" max="1" width="2.28125" style="0" customWidth="1"/>
    <col min="2" max="2" width="26.421875" style="0" customWidth="1"/>
    <col min="3" max="3" width="7.140625" style="0" customWidth="1"/>
    <col min="4" max="4" width="8.28125" style="0" customWidth="1"/>
    <col min="5" max="5" width="7.140625" style="0" customWidth="1"/>
    <col min="6" max="6" width="8.28125" style="0" customWidth="1"/>
    <col min="7" max="7" width="7.140625" style="0" customWidth="1"/>
    <col min="8" max="8" width="8.28125" style="0" customWidth="1"/>
    <col min="9" max="9" width="7.140625" style="0" customWidth="1"/>
    <col min="10" max="10" width="8.28125" style="0" customWidth="1"/>
    <col min="11" max="11" width="7.140625" style="0" customWidth="1"/>
    <col min="12" max="12" width="8.28125" style="0" customWidth="1"/>
    <col min="13" max="13" width="9.28125" style="0" customWidth="1"/>
    <col min="14" max="14" width="9.421875" style="0" customWidth="1"/>
    <col min="15" max="15" width="7.140625" style="0" customWidth="1"/>
    <col min="16" max="16" width="8.28125" style="0" customWidth="1"/>
    <col min="17" max="17" width="7.140625" style="0" customWidth="1"/>
    <col min="18" max="20" width="8.28125" style="0" customWidth="1"/>
  </cols>
  <sheetData>
    <row r="5" spans="6:16" ht="23.25">
      <c r="F5" s="517" t="s">
        <v>19</v>
      </c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6:16" ht="23.25">
      <c r="F6" s="519" t="s">
        <v>20</v>
      </c>
      <c r="G6" s="518"/>
      <c r="H6" s="518"/>
      <c r="I6" s="518"/>
      <c r="J6" s="518"/>
      <c r="K6" s="518"/>
      <c r="L6" s="518"/>
      <c r="M6" s="518"/>
      <c r="N6" s="518"/>
      <c r="O6" s="518"/>
      <c r="P6" s="518"/>
    </row>
    <row r="7" ht="16.5" customHeight="1">
      <c r="E7" s="27"/>
    </row>
    <row r="8" spans="4:5" ht="16.5" customHeight="1">
      <c r="D8" s="28"/>
      <c r="E8" s="29" t="s">
        <v>21</v>
      </c>
    </row>
    <row r="10" ht="18.75" thickBot="1">
      <c r="B10" s="30" t="s">
        <v>22</v>
      </c>
    </row>
    <row r="11" spans="2:20" ht="19.5" customHeight="1" thickBot="1" thickTop="1">
      <c r="B11" s="31" t="s">
        <v>23</v>
      </c>
      <c r="C11" s="32" t="s">
        <v>8</v>
      </c>
      <c r="D11" s="33"/>
      <c r="E11" s="32" t="s">
        <v>24</v>
      </c>
      <c r="F11" s="33"/>
      <c r="G11" s="32" t="s">
        <v>25</v>
      </c>
      <c r="H11" s="33"/>
      <c r="I11" s="32" t="s">
        <v>26</v>
      </c>
      <c r="J11" s="33"/>
      <c r="K11" s="32" t="s">
        <v>27</v>
      </c>
      <c r="L11" s="33"/>
      <c r="M11" s="34" t="s">
        <v>13</v>
      </c>
      <c r="N11" s="33"/>
      <c r="O11" s="35" t="s">
        <v>28</v>
      </c>
      <c r="P11" s="36"/>
      <c r="Q11" s="37" t="s">
        <v>29</v>
      </c>
      <c r="R11" s="38"/>
      <c r="S11" s="39" t="s">
        <v>30</v>
      </c>
      <c r="T11" s="33"/>
    </row>
    <row r="12" spans="2:20" ht="19.5" customHeight="1" thickBot="1" thickTop="1">
      <c r="B12" s="40" t="s">
        <v>31</v>
      </c>
      <c r="C12" s="41" t="s">
        <v>32</v>
      </c>
      <c r="D12" s="42" t="s">
        <v>33</v>
      </c>
      <c r="E12" s="41" t="s">
        <v>32</v>
      </c>
      <c r="F12" s="41" t="s">
        <v>33</v>
      </c>
      <c r="G12" s="41" t="s">
        <v>32</v>
      </c>
      <c r="H12" s="41" t="s">
        <v>33</v>
      </c>
      <c r="I12" s="41" t="s">
        <v>32</v>
      </c>
      <c r="J12" s="41" t="s">
        <v>33</v>
      </c>
      <c r="K12" s="41" t="s">
        <v>32</v>
      </c>
      <c r="L12" s="41" t="s">
        <v>34</v>
      </c>
      <c r="M12" s="41" t="s">
        <v>32</v>
      </c>
      <c r="N12" s="41" t="s">
        <v>35</v>
      </c>
      <c r="O12" s="41" t="s">
        <v>32</v>
      </c>
      <c r="P12" s="41" t="s">
        <v>36</v>
      </c>
      <c r="Q12" s="41" t="s">
        <v>32</v>
      </c>
      <c r="R12" s="41" t="s">
        <v>33</v>
      </c>
      <c r="S12" s="41" t="s">
        <v>32</v>
      </c>
      <c r="T12" s="43" t="s">
        <v>33</v>
      </c>
    </row>
    <row r="13" spans="2:20" ht="34.5" customHeight="1" thickTop="1">
      <c r="B13" s="44" t="s">
        <v>37</v>
      </c>
      <c r="C13" s="45">
        <v>622</v>
      </c>
      <c r="D13" s="46">
        <f>C13/C20*100</f>
        <v>13.310507168842287</v>
      </c>
      <c r="E13" s="45">
        <v>514</v>
      </c>
      <c r="F13" s="46">
        <f>E13/E20*100</f>
        <v>14.293659621802002</v>
      </c>
      <c r="G13" s="47">
        <v>384</v>
      </c>
      <c r="H13" s="46">
        <f>G13/G20*100</f>
        <v>8.170212765957446</v>
      </c>
      <c r="I13" s="45">
        <v>298</v>
      </c>
      <c r="J13" s="46">
        <f>I13/I20*100</f>
        <v>8.234318872616745</v>
      </c>
      <c r="K13" s="48">
        <v>583</v>
      </c>
      <c r="L13" s="46">
        <f>K13/K20*100</f>
        <v>13.523544421247971</v>
      </c>
      <c r="M13" s="45">
        <v>421</v>
      </c>
      <c r="N13" s="46">
        <f>M13/M20*100</f>
        <v>8.598856209150327</v>
      </c>
      <c r="O13" s="45">
        <v>739</v>
      </c>
      <c r="P13" s="46">
        <f>O13*100/O20</f>
        <v>15.613775618001268</v>
      </c>
      <c r="Q13" s="45">
        <v>972</v>
      </c>
      <c r="R13" s="49">
        <f>100/Q20*Q13</f>
        <v>15.512288541334183</v>
      </c>
      <c r="S13" s="50">
        <f aca="true" t="shared" si="0" ref="S13:S19">C13+E13+G13+I13+K13+M13+O13+Q13</f>
        <v>4533</v>
      </c>
      <c r="T13" s="51">
        <f>S13/S20*100</f>
        <v>12.319943469043865</v>
      </c>
    </row>
    <row r="14" spans="2:20" ht="34.5" customHeight="1">
      <c r="B14" s="44" t="s">
        <v>38</v>
      </c>
      <c r="C14" s="45">
        <v>82</v>
      </c>
      <c r="D14" s="46">
        <f>C14/C20*100</f>
        <v>1.7547613952493046</v>
      </c>
      <c r="E14" s="45">
        <v>151</v>
      </c>
      <c r="F14" s="46">
        <f>E14/E20*100</f>
        <v>4.199110122358176</v>
      </c>
      <c r="G14" s="45">
        <v>457</v>
      </c>
      <c r="H14" s="46">
        <f>G14/G20*100</f>
        <v>9.72340425531915</v>
      </c>
      <c r="I14" s="45">
        <v>273</v>
      </c>
      <c r="J14" s="46">
        <f>I14/I20*100</f>
        <v>7.543520309477756</v>
      </c>
      <c r="K14" s="48">
        <v>21</v>
      </c>
      <c r="L14" s="46">
        <f>K14/K20*100</f>
        <v>0.4871259568545582</v>
      </c>
      <c r="M14" s="48">
        <v>322</v>
      </c>
      <c r="N14" s="46">
        <f>M14/M20*100</f>
        <v>6.576797385620916</v>
      </c>
      <c r="O14" s="45">
        <v>245</v>
      </c>
      <c r="P14" s="46">
        <f>O14*100/O20</f>
        <v>5.176420874709486</v>
      </c>
      <c r="Q14" s="45">
        <v>156</v>
      </c>
      <c r="R14" s="49">
        <f>100/Q20*Q14</f>
        <v>2.4896265560165975</v>
      </c>
      <c r="S14" s="50">
        <f t="shared" si="0"/>
        <v>1707</v>
      </c>
      <c r="T14" s="51">
        <f>S14/S20*100</f>
        <v>4.639343371201826</v>
      </c>
    </row>
    <row r="15" spans="2:20" ht="34.5" customHeight="1">
      <c r="B15" s="44" t="s">
        <v>39</v>
      </c>
      <c r="C15" s="45">
        <v>2752</v>
      </c>
      <c r="D15" s="46">
        <f>C15/C20*100</f>
        <v>58.89150438690349</v>
      </c>
      <c r="E15" s="45">
        <v>2169</v>
      </c>
      <c r="F15" s="46">
        <f>E15/E20*100</f>
        <v>60.317018909899886</v>
      </c>
      <c r="G15" s="45">
        <v>2791</v>
      </c>
      <c r="H15" s="46">
        <f>G15/G20*100</f>
        <v>59.38297872340426</v>
      </c>
      <c r="I15" s="45">
        <v>2358</v>
      </c>
      <c r="J15" s="46">
        <f>I15/I20*100</f>
        <v>65.1561204752694</v>
      </c>
      <c r="K15" s="45">
        <v>2835</v>
      </c>
      <c r="L15" s="46">
        <f>K15/K20*100</f>
        <v>65.76200417536533</v>
      </c>
      <c r="M15" s="48">
        <v>3112</v>
      </c>
      <c r="N15" s="46">
        <f>M15/M20*100</f>
        <v>63.56209150326797</v>
      </c>
      <c r="O15" s="45">
        <v>2764</v>
      </c>
      <c r="P15" s="46">
        <f>O15*100/O20</f>
        <v>58.39847876611029</v>
      </c>
      <c r="Q15" s="45">
        <v>3678</v>
      </c>
      <c r="R15" s="49">
        <f>100/Q20*Q15</f>
        <v>58.69773380146824</v>
      </c>
      <c r="S15" s="50">
        <f t="shared" si="0"/>
        <v>22459</v>
      </c>
      <c r="T15" s="51">
        <f>S15/S20*100</f>
        <v>61.03984345273686</v>
      </c>
    </row>
    <row r="16" spans="2:20" ht="34.5" customHeight="1">
      <c r="B16" s="44" t="s">
        <v>40</v>
      </c>
      <c r="C16" s="45">
        <v>840</v>
      </c>
      <c r="D16" s="46">
        <f>C16/C20*100</f>
        <v>17.975604536700192</v>
      </c>
      <c r="E16" s="45">
        <v>535</v>
      </c>
      <c r="F16" s="46">
        <f>E16/E20*100</f>
        <v>14.877641824249165</v>
      </c>
      <c r="G16" s="45">
        <v>718</v>
      </c>
      <c r="H16" s="46">
        <f>G16/G20*100</f>
        <v>15.27659574468085</v>
      </c>
      <c r="I16" s="45">
        <v>384</v>
      </c>
      <c r="J16" s="46">
        <f>I16/I20*100</f>
        <v>10.610665929814866</v>
      </c>
      <c r="K16" s="48">
        <v>583</v>
      </c>
      <c r="L16" s="46">
        <f>K16/K20*100</f>
        <v>13.523544421247971</v>
      </c>
      <c r="M16" s="48">
        <v>653</v>
      </c>
      <c r="N16" s="46">
        <f>M16/M20*100</f>
        <v>13.337418300653594</v>
      </c>
      <c r="O16" s="45">
        <v>637</v>
      </c>
      <c r="P16" s="46">
        <f>O16*100/O20</f>
        <v>13.458694274244666</v>
      </c>
      <c r="Q16" s="45">
        <v>848</v>
      </c>
      <c r="R16" s="49">
        <f>100/Q20*Q16</f>
        <v>13.533354612192785</v>
      </c>
      <c r="S16" s="50">
        <f t="shared" si="0"/>
        <v>5198</v>
      </c>
      <c r="T16" s="51">
        <f>S16/S20*100</f>
        <v>14.127303364679022</v>
      </c>
    </row>
    <row r="17" spans="2:20" ht="34.5" customHeight="1">
      <c r="B17" s="44" t="s">
        <v>41</v>
      </c>
      <c r="C17" s="45">
        <v>23</v>
      </c>
      <c r="D17" s="46">
        <f>C17/C20*100</f>
        <v>0.49218917183821953</v>
      </c>
      <c r="E17" s="45">
        <v>14</v>
      </c>
      <c r="F17" s="46">
        <f>E17/E20*100</f>
        <v>0.389321468298109</v>
      </c>
      <c r="G17" s="45">
        <v>48</v>
      </c>
      <c r="H17" s="46">
        <f>G17/G20*100</f>
        <v>1.0212765957446808</v>
      </c>
      <c r="I17" s="45">
        <v>31</v>
      </c>
      <c r="J17" s="46">
        <f>I17/I20*100</f>
        <v>0.8565902182923459</v>
      </c>
      <c r="K17" s="48">
        <v>88</v>
      </c>
      <c r="L17" s="46">
        <f>K17/K20*100</f>
        <v>2.041289723961958</v>
      </c>
      <c r="M17" s="48">
        <v>78</v>
      </c>
      <c r="N17" s="46">
        <f>M17/M20*100</f>
        <v>1.5931372549019607</v>
      </c>
      <c r="O17" s="45">
        <v>92</v>
      </c>
      <c r="P17" s="46">
        <f>O17*100/O20</f>
        <v>1.9437988590745827</v>
      </c>
      <c r="Q17" s="45">
        <v>61</v>
      </c>
      <c r="R17" s="49">
        <f>100/Q20*Q17</f>
        <v>0.9735078199808489</v>
      </c>
      <c r="S17" s="50">
        <f t="shared" si="0"/>
        <v>435</v>
      </c>
      <c r="T17" s="51">
        <f>S17/S20*100</f>
        <v>1.1822579768440507</v>
      </c>
    </row>
    <row r="18" spans="2:20" ht="34.5" customHeight="1">
      <c r="B18" s="44" t="s">
        <v>42</v>
      </c>
      <c r="C18" s="45">
        <v>52</v>
      </c>
      <c r="D18" s="46">
        <f>C18/C20*100</f>
        <v>1.1127755189385833</v>
      </c>
      <c r="E18" s="45">
        <v>8</v>
      </c>
      <c r="F18" s="46">
        <f>E18/E20*100</f>
        <v>0.22246941045606228</v>
      </c>
      <c r="G18" s="45">
        <v>6</v>
      </c>
      <c r="H18" s="46">
        <f>G18/G20*100</f>
        <v>0.1276595744680851</v>
      </c>
      <c r="I18" s="45">
        <v>21</v>
      </c>
      <c r="J18" s="46">
        <f>I18/I20*100</f>
        <v>0.5802707930367506</v>
      </c>
      <c r="K18" s="48">
        <v>1</v>
      </c>
      <c r="L18" s="46">
        <f>K18/K20*100</f>
        <v>0.023196474135931337</v>
      </c>
      <c r="M18" s="48">
        <v>6</v>
      </c>
      <c r="N18" s="46">
        <f>M18/M20*100</f>
        <v>0.12254901960784313</v>
      </c>
      <c r="O18" s="45">
        <v>27</v>
      </c>
      <c r="P18" s="46">
        <f>O18*100/O20</f>
        <v>0.5704627086414537</v>
      </c>
      <c r="Q18" s="45">
        <v>15</v>
      </c>
      <c r="R18" s="49">
        <f>100/Q20*Q18</f>
        <v>0.23938716884774974</v>
      </c>
      <c r="S18" s="50">
        <f t="shared" si="0"/>
        <v>136</v>
      </c>
      <c r="T18" s="51">
        <f>S18/S20*100</f>
        <v>0.3696254824156112</v>
      </c>
    </row>
    <row r="19" spans="2:20" ht="34.5" customHeight="1" thickBot="1">
      <c r="B19" s="52" t="s">
        <v>43</v>
      </c>
      <c r="C19" s="53">
        <v>302</v>
      </c>
      <c r="D19" s="54">
        <f>C19/C20*100</f>
        <v>6.462657821527927</v>
      </c>
      <c r="E19" s="55">
        <v>205</v>
      </c>
      <c r="F19" s="54">
        <f>E19/E20*100</f>
        <v>5.700778642936596</v>
      </c>
      <c r="G19" s="53">
        <v>296</v>
      </c>
      <c r="H19" s="54">
        <f>G19/G20*100</f>
        <v>6.297872340425532</v>
      </c>
      <c r="I19" s="53">
        <v>254</v>
      </c>
      <c r="J19" s="54">
        <f>I19/I20*100</f>
        <v>7.018513401492125</v>
      </c>
      <c r="K19" s="56">
        <v>200</v>
      </c>
      <c r="L19" s="54">
        <f>K19/K20*100</f>
        <v>4.6392948271862675</v>
      </c>
      <c r="M19" s="56">
        <v>304</v>
      </c>
      <c r="N19" s="54">
        <f>M19/M20*100</f>
        <v>6.209150326797386</v>
      </c>
      <c r="O19" s="53">
        <v>229</v>
      </c>
      <c r="P19" s="54">
        <f>O19*100/O20</f>
        <v>4.8383688992182545</v>
      </c>
      <c r="Q19" s="53">
        <v>536</v>
      </c>
      <c r="R19" s="57">
        <f>100/Q20*Q19</f>
        <v>8.554101500159591</v>
      </c>
      <c r="S19" s="58">
        <f t="shared" si="0"/>
        <v>2326</v>
      </c>
      <c r="T19" s="59">
        <f>S19/S20*100</f>
        <v>6.321682883078762</v>
      </c>
    </row>
    <row r="20" spans="2:22" ht="34.5" customHeight="1" thickBot="1" thickTop="1">
      <c r="B20" s="60" t="s">
        <v>44</v>
      </c>
      <c r="C20" s="61">
        <f aca="true" t="shared" si="1" ref="C20:T20">SUM(C13:C19)</f>
        <v>4673</v>
      </c>
      <c r="D20" s="62">
        <f t="shared" si="1"/>
        <v>100</v>
      </c>
      <c r="E20" s="61">
        <f t="shared" si="1"/>
        <v>3596</v>
      </c>
      <c r="F20" s="62">
        <f t="shared" si="1"/>
        <v>100</v>
      </c>
      <c r="G20" s="61">
        <f t="shared" si="1"/>
        <v>4700</v>
      </c>
      <c r="H20" s="62">
        <f t="shared" si="1"/>
        <v>100</v>
      </c>
      <c r="I20" s="61">
        <f t="shared" si="1"/>
        <v>3619</v>
      </c>
      <c r="J20" s="62">
        <f t="shared" si="1"/>
        <v>99.99999999999999</v>
      </c>
      <c r="K20" s="61">
        <f t="shared" si="1"/>
        <v>4311</v>
      </c>
      <c r="L20" s="62">
        <f t="shared" si="1"/>
        <v>99.99999999999999</v>
      </c>
      <c r="M20" s="61">
        <f t="shared" si="1"/>
        <v>4896</v>
      </c>
      <c r="N20" s="62">
        <f t="shared" si="1"/>
        <v>100</v>
      </c>
      <c r="O20" s="61">
        <f t="shared" si="1"/>
        <v>4733</v>
      </c>
      <c r="P20" s="62">
        <f t="shared" si="1"/>
        <v>99.99999999999999</v>
      </c>
      <c r="Q20" s="61">
        <f t="shared" si="1"/>
        <v>6266</v>
      </c>
      <c r="R20" s="62">
        <f t="shared" si="1"/>
        <v>100</v>
      </c>
      <c r="S20" s="61">
        <f t="shared" si="1"/>
        <v>36794</v>
      </c>
      <c r="T20" s="63">
        <f t="shared" si="1"/>
        <v>100.00000000000001</v>
      </c>
      <c r="U20" s="64"/>
      <c r="V20" s="64"/>
    </row>
    <row r="21" ht="30" customHeight="1" thickTop="1">
      <c r="I21" s="64"/>
    </row>
    <row r="22" ht="30" customHeight="1">
      <c r="I22" s="64"/>
    </row>
    <row r="23" ht="30" customHeight="1"/>
    <row r="24" ht="30" customHeight="1"/>
  </sheetData>
  <mergeCells count="2">
    <mergeCell ref="F5:P5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1"/>
  <sheetViews>
    <sheetView zoomScale="75" zoomScaleNormal="75" workbookViewId="0" topLeftCell="A1">
      <selection activeCell="M20" sqref="M20"/>
    </sheetView>
  </sheetViews>
  <sheetFormatPr defaultColWidth="9.140625" defaultRowHeight="12.75"/>
  <cols>
    <col min="1" max="1" width="5.57421875" style="65" customWidth="1"/>
    <col min="2" max="2" width="26.421875" style="65" customWidth="1"/>
    <col min="3" max="3" width="9.00390625" style="65" customWidth="1"/>
    <col min="4" max="4" width="11.57421875" style="65" customWidth="1"/>
    <col min="5" max="5" width="9.140625" style="65" customWidth="1"/>
    <col min="6" max="6" width="12.57421875" style="65" customWidth="1"/>
    <col min="7" max="7" width="8.57421875" style="65" customWidth="1"/>
    <col min="8" max="8" width="13.00390625" style="65" customWidth="1"/>
    <col min="9" max="9" width="8.8515625" style="65" customWidth="1"/>
    <col min="10" max="10" width="12.8515625" style="65" customWidth="1"/>
    <col min="11" max="11" width="10.7109375" style="65" customWidth="1"/>
    <col min="12" max="12" width="9.421875" style="65" customWidth="1"/>
    <col min="13" max="13" width="13.421875" style="65" customWidth="1"/>
    <col min="14" max="14" width="8.00390625" style="65" customWidth="1"/>
    <col min="15" max="16" width="9.140625" style="65" customWidth="1"/>
    <col min="17" max="17" width="12.7109375" style="65" bestFit="1" customWidth="1"/>
    <col min="18" max="16384" width="9.140625" style="65" customWidth="1"/>
  </cols>
  <sheetData>
    <row r="2" ht="26.25">
      <c r="C2" s="66" t="s">
        <v>45</v>
      </c>
    </row>
    <row r="5" ht="13.5" thickBot="1">
      <c r="B5" s="67" t="s">
        <v>46</v>
      </c>
    </row>
    <row r="6" spans="2:14" ht="18" thickBot="1" thickTop="1">
      <c r="B6" s="521" t="s">
        <v>47</v>
      </c>
      <c r="C6" s="521" t="s">
        <v>48</v>
      </c>
      <c r="D6" s="521"/>
      <c r="E6" s="521" t="s">
        <v>49</v>
      </c>
      <c r="F6" s="521"/>
      <c r="G6" s="521" t="s">
        <v>50</v>
      </c>
      <c r="H6" s="521"/>
      <c r="I6" s="521" t="s">
        <v>51</v>
      </c>
      <c r="J6" s="521"/>
      <c r="K6" s="521" t="s">
        <v>52</v>
      </c>
      <c r="L6" s="521"/>
      <c r="M6" s="522"/>
      <c r="N6" s="522"/>
    </row>
    <row r="7" spans="2:14" ht="14.25" customHeight="1" thickBot="1" thickTop="1">
      <c r="B7" s="523"/>
      <c r="C7" s="520" t="s">
        <v>53</v>
      </c>
      <c r="D7" s="520" t="s">
        <v>54</v>
      </c>
      <c r="E7" s="520" t="s">
        <v>53</v>
      </c>
      <c r="F7" s="520" t="s">
        <v>54</v>
      </c>
      <c r="G7" s="520" t="s">
        <v>53</v>
      </c>
      <c r="H7" s="520" t="s">
        <v>54</v>
      </c>
      <c r="I7" s="520" t="s">
        <v>53</v>
      </c>
      <c r="J7" s="520" t="s">
        <v>54</v>
      </c>
      <c r="K7" s="520" t="s">
        <v>53</v>
      </c>
      <c r="L7" s="520" t="s">
        <v>55</v>
      </c>
      <c r="M7" s="520" t="s">
        <v>54</v>
      </c>
      <c r="N7" s="520" t="s">
        <v>55</v>
      </c>
    </row>
    <row r="8" spans="2:14" ht="14.25" thickBot="1" thickTop="1">
      <c r="B8" s="523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</row>
    <row r="9" spans="2:14" ht="36" customHeight="1" thickTop="1">
      <c r="B9" s="68" t="s">
        <v>56</v>
      </c>
      <c r="C9" s="69">
        <f>9+66+42+572</f>
        <v>689</v>
      </c>
      <c r="D9" s="69">
        <f>11058+35501+128586+2200214</f>
        <v>2375359</v>
      </c>
      <c r="E9" s="70">
        <f>533+720+929+3185</f>
        <v>5367</v>
      </c>
      <c r="F9" s="70">
        <f>4956645+18095804+12410376+15390068</f>
        <v>50852893</v>
      </c>
      <c r="G9" s="70">
        <f>727+253+1141+4507</f>
        <v>6628</v>
      </c>
      <c r="H9" s="70">
        <f>1896855+4779732+21901754+11408578</f>
        <v>39986919</v>
      </c>
      <c r="I9" s="70">
        <f>81+119+226+550</f>
        <v>976</v>
      </c>
      <c r="J9" s="70">
        <f>158835+175058+1626303+2289297</f>
        <v>4249493</v>
      </c>
      <c r="K9" s="71">
        <f aca="true" t="shared" si="0" ref="K9:K16">C9+E9+G9+I9</f>
        <v>13660</v>
      </c>
      <c r="L9" s="72">
        <f>K9/K16*100</f>
        <v>61.78479352299968</v>
      </c>
      <c r="M9" s="71">
        <f aca="true" t="shared" si="1" ref="M9:M16">D9+F9+H9+J9</f>
        <v>97464664</v>
      </c>
      <c r="N9" s="73">
        <f>M9/M16*100</f>
        <v>39.120921505443754</v>
      </c>
    </row>
    <row r="10" spans="2:14" ht="36" customHeight="1">
      <c r="B10" s="68" t="s">
        <v>57</v>
      </c>
      <c r="C10" s="69">
        <f>4+2</f>
        <v>6</v>
      </c>
      <c r="D10" s="69">
        <f>2577+53364</f>
        <v>55941</v>
      </c>
      <c r="E10" s="74">
        <f>20+93+32</f>
        <v>145</v>
      </c>
      <c r="F10" s="74">
        <f>13026+2578148+410083</f>
        <v>3001257</v>
      </c>
      <c r="G10" s="74">
        <f>80+24</f>
        <v>104</v>
      </c>
      <c r="H10" s="74">
        <f>103948+19053143</f>
        <v>19157091</v>
      </c>
      <c r="I10" s="74">
        <f>22+25</f>
        <v>47</v>
      </c>
      <c r="J10" s="74">
        <f>11416+498935</f>
        <v>510351</v>
      </c>
      <c r="K10" s="75">
        <f t="shared" si="0"/>
        <v>302</v>
      </c>
      <c r="L10" s="76">
        <f>K10/K16*100</f>
        <v>1.3659595639784703</v>
      </c>
      <c r="M10" s="75">
        <f t="shared" si="1"/>
        <v>22724640</v>
      </c>
      <c r="N10" s="73">
        <f>M10/M16*100</f>
        <v>9.121345328594858</v>
      </c>
    </row>
    <row r="11" spans="2:14" ht="36" customHeight="1">
      <c r="B11" s="77" t="s">
        <v>58</v>
      </c>
      <c r="C11" s="74">
        <f>26+143</f>
        <v>169</v>
      </c>
      <c r="D11" s="74">
        <f>186755+1576455</f>
        <v>1763210</v>
      </c>
      <c r="E11" s="74">
        <f>935+2623</f>
        <v>3558</v>
      </c>
      <c r="F11" s="74">
        <f>10399725+21944132</f>
        <v>32343857</v>
      </c>
      <c r="G11" s="74">
        <f>485+3038</f>
        <v>3523</v>
      </c>
      <c r="H11" s="74">
        <f>2076709+12562721</f>
        <v>14639430</v>
      </c>
      <c r="I11" s="74">
        <f>69+1166</f>
        <v>1235</v>
      </c>
      <c r="J11" s="74">
        <f>337285+3110569</f>
        <v>3447854</v>
      </c>
      <c r="K11" s="75">
        <f t="shared" si="0"/>
        <v>8485</v>
      </c>
      <c r="L11" s="76">
        <f>K11/K16*100</f>
        <v>38.37803609389841</v>
      </c>
      <c r="M11" s="75">
        <f t="shared" si="1"/>
        <v>52194351</v>
      </c>
      <c r="N11" s="73">
        <f>M11/M16*100</f>
        <v>20.95006564121105</v>
      </c>
    </row>
    <row r="12" spans="2:14" ht="36" customHeight="1">
      <c r="B12" s="77" t="s">
        <v>59</v>
      </c>
      <c r="C12" s="74">
        <f>3+2</f>
        <v>5</v>
      </c>
      <c r="D12" s="74">
        <f>1977+53364</f>
        <v>55341</v>
      </c>
      <c r="E12" s="74">
        <f>5+66</f>
        <v>71</v>
      </c>
      <c r="F12" s="74">
        <f>49641+1208440</f>
        <v>1258081</v>
      </c>
      <c r="G12" s="74">
        <f>155+4</f>
        <v>159</v>
      </c>
      <c r="H12" s="74">
        <f>298464+65727</f>
        <v>364191</v>
      </c>
      <c r="I12" s="74">
        <f>16</f>
        <v>16</v>
      </c>
      <c r="J12" s="74">
        <f>382429</f>
        <v>382429</v>
      </c>
      <c r="K12" s="75">
        <f t="shared" si="0"/>
        <v>251</v>
      </c>
      <c r="L12" s="76">
        <f>K12/K16*100</f>
        <v>1.1352842733728346</v>
      </c>
      <c r="M12" s="75">
        <f t="shared" si="1"/>
        <v>2060042</v>
      </c>
      <c r="N12" s="73">
        <f>M12/M16*100</f>
        <v>0.8268713816108509</v>
      </c>
    </row>
    <row r="13" spans="2:14" ht="36" customHeight="1">
      <c r="B13" s="77" t="s">
        <v>60</v>
      </c>
      <c r="C13" s="74">
        <v>1</v>
      </c>
      <c r="D13" s="74">
        <v>1485</v>
      </c>
      <c r="E13" s="74">
        <v>7</v>
      </c>
      <c r="F13" s="74">
        <v>115074</v>
      </c>
      <c r="G13" s="74">
        <v>9</v>
      </c>
      <c r="H13" s="74">
        <v>15791</v>
      </c>
      <c r="I13" s="74">
        <v>0</v>
      </c>
      <c r="J13" s="74">
        <v>0</v>
      </c>
      <c r="K13" s="75">
        <f t="shared" si="0"/>
        <v>17</v>
      </c>
      <c r="L13" s="76">
        <f>K13/K16*100</f>
        <v>0.0768917635352119</v>
      </c>
      <c r="M13" s="75">
        <f t="shared" si="1"/>
        <v>132350</v>
      </c>
      <c r="N13" s="73">
        <f>M13/M16*100</f>
        <v>0.05312339620075519</v>
      </c>
    </row>
    <row r="14" spans="2:14" ht="36" customHeight="1">
      <c r="B14" s="77" t="s">
        <v>61</v>
      </c>
      <c r="C14" s="74">
        <v>185</v>
      </c>
      <c r="D14" s="74">
        <v>140868</v>
      </c>
      <c r="E14" s="74">
        <v>593</v>
      </c>
      <c r="F14" s="74">
        <v>701708</v>
      </c>
      <c r="G14" s="74">
        <v>34</v>
      </c>
      <c r="H14" s="74">
        <v>37279</v>
      </c>
      <c r="I14" s="74">
        <v>1</v>
      </c>
      <c r="J14" s="74">
        <v>180</v>
      </c>
      <c r="K14" s="75">
        <f t="shared" si="0"/>
        <v>813</v>
      </c>
      <c r="L14" s="76">
        <f>K14/K16*100</f>
        <v>3.6772355149486633</v>
      </c>
      <c r="M14" s="75">
        <f t="shared" si="1"/>
        <v>880035</v>
      </c>
      <c r="N14" s="73">
        <f>M14/M16*100</f>
        <v>0.35323345655860666</v>
      </c>
    </row>
    <row r="15" spans="2:14" ht="36" customHeight="1" thickBot="1">
      <c r="B15" s="78" t="s">
        <v>62</v>
      </c>
      <c r="C15" s="79">
        <f>72+3</f>
        <v>75</v>
      </c>
      <c r="D15" s="79">
        <f>3287+502935</f>
        <v>506222</v>
      </c>
      <c r="E15" s="80">
        <f>15+67</f>
        <v>82</v>
      </c>
      <c r="F15" s="80">
        <f>133665+245861</f>
        <v>379526</v>
      </c>
      <c r="G15" s="80">
        <f>505+499</f>
        <v>1004</v>
      </c>
      <c r="H15" s="80">
        <f>1237551+167191</f>
        <v>1404742</v>
      </c>
      <c r="I15" s="80">
        <v>58</v>
      </c>
      <c r="J15" s="80">
        <v>26513</v>
      </c>
      <c r="K15" s="81">
        <f t="shared" si="0"/>
        <v>1219</v>
      </c>
      <c r="L15" s="82">
        <f>K15/K16*100</f>
        <v>5.513591749966077</v>
      </c>
      <c r="M15" s="81">
        <f t="shared" si="1"/>
        <v>2317003</v>
      </c>
      <c r="N15" s="73">
        <f>M15/M16*100</f>
        <v>0.9300118501498932</v>
      </c>
    </row>
    <row r="16" spans="2:14" ht="36" customHeight="1" thickBot="1" thickTop="1">
      <c r="B16" s="83" t="s">
        <v>63</v>
      </c>
      <c r="C16" s="84">
        <v>1175</v>
      </c>
      <c r="D16" s="84">
        <v>9000126</v>
      </c>
      <c r="E16" s="84">
        <v>9538</v>
      </c>
      <c r="F16" s="84">
        <v>159403779</v>
      </c>
      <c r="G16" s="84">
        <v>9286</v>
      </c>
      <c r="H16" s="84">
        <v>73431930</v>
      </c>
      <c r="I16" s="84">
        <v>2110</v>
      </c>
      <c r="J16" s="84">
        <v>7301098</v>
      </c>
      <c r="K16" s="84">
        <f t="shared" si="0"/>
        <v>22109</v>
      </c>
      <c r="L16" s="85" t="s">
        <v>64</v>
      </c>
      <c r="M16" s="84">
        <f t="shared" si="1"/>
        <v>249136933</v>
      </c>
      <c r="N16" s="86" t="s">
        <v>64</v>
      </c>
    </row>
    <row r="17" ht="13.5" thickTop="1"/>
    <row r="19" ht="12.75">
      <c r="J19" s="87"/>
    </row>
    <row r="20" spans="10:17" ht="12.75">
      <c r="J20" s="87"/>
      <c r="M20" s="87"/>
      <c r="Q20" s="87"/>
    </row>
    <row r="21" ht="12.75">
      <c r="C21" s="87"/>
    </row>
  </sheetData>
  <mergeCells count="18">
    <mergeCell ref="C6:D6"/>
    <mergeCell ref="B6:B8"/>
    <mergeCell ref="C7:C8"/>
    <mergeCell ref="D7:D8"/>
    <mergeCell ref="E6:F6"/>
    <mergeCell ref="E7:E8"/>
    <mergeCell ref="F7:F8"/>
    <mergeCell ref="G6:H6"/>
    <mergeCell ref="G7:G8"/>
    <mergeCell ref="H7:H8"/>
    <mergeCell ref="N7:N8"/>
    <mergeCell ref="K6:N6"/>
    <mergeCell ref="I6:J6"/>
    <mergeCell ref="I7:I8"/>
    <mergeCell ref="J7:J8"/>
    <mergeCell ref="K7:K8"/>
    <mergeCell ref="L7:L8"/>
    <mergeCell ref="M7:M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64"/>
  <sheetViews>
    <sheetView zoomScale="75" zoomScaleNormal="75" workbookViewId="0" topLeftCell="C1">
      <selection activeCell="J3" sqref="J3"/>
    </sheetView>
  </sheetViews>
  <sheetFormatPr defaultColWidth="9.140625" defaultRowHeight="12.75"/>
  <cols>
    <col min="1" max="1" width="1.7109375" style="0" customWidth="1"/>
    <col min="2" max="2" width="32.8515625" style="0" customWidth="1"/>
    <col min="3" max="3" width="11.140625" style="0" customWidth="1"/>
    <col min="4" max="4" width="11.57421875" style="0" customWidth="1"/>
    <col min="5" max="5" width="13.140625" style="0" bestFit="1" customWidth="1"/>
    <col min="6" max="6" width="11.28125" style="0" customWidth="1"/>
    <col min="7" max="7" width="14.421875" style="0" bestFit="1" customWidth="1"/>
    <col min="8" max="8" width="11.57421875" style="0" customWidth="1"/>
    <col min="9" max="9" width="13.57421875" style="0" customWidth="1"/>
    <col min="10" max="10" width="11.7109375" style="0" customWidth="1"/>
    <col min="11" max="11" width="13.140625" style="0" customWidth="1"/>
    <col min="12" max="12" width="11.57421875" style="0" customWidth="1"/>
    <col min="13" max="13" width="9.28125" style="0" customWidth="1"/>
    <col min="14" max="14" width="12.8515625" style="0" customWidth="1"/>
    <col min="15" max="15" width="9.421875" style="0" customWidth="1"/>
  </cols>
  <sheetData>
    <row r="1" spans="2:31" ht="20.25">
      <c r="B1" s="524" t="s">
        <v>65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2:31" ht="18">
      <c r="B2" s="526" t="s">
        <v>66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2:31" ht="18">
      <c r="B3" s="9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2:31" ht="13.5" customHeight="1" thickBot="1">
      <c r="B4" s="91" t="s">
        <v>67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2:31" ht="27" customHeight="1" thickBot="1" thickTop="1">
      <c r="B5" s="527" t="s">
        <v>31</v>
      </c>
      <c r="C5" s="530" t="s">
        <v>68</v>
      </c>
      <c r="D5" s="536" t="s">
        <v>69</v>
      </c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2:31" ht="16.5" thickBot="1">
      <c r="B6" s="528"/>
      <c r="C6" s="531"/>
      <c r="D6" s="498" t="s">
        <v>70</v>
      </c>
      <c r="E6" s="494"/>
      <c r="F6" s="498" t="s">
        <v>71</v>
      </c>
      <c r="G6" s="535"/>
      <c r="H6" s="498" t="s">
        <v>50</v>
      </c>
      <c r="I6" s="494"/>
      <c r="J6" s="498" t="s">
        <v>51</v>
      </c>
      <c r="K6" s="494"/>
      <c r="L6" s="498" t="s">
        <v>52</v>
      </c>
      <c r="M6" s="533"/>
      <c r="N6" s="533"/>
      <c r="O6" s="534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2:31" ht="15.75" thickBot="1">
      <c r="B7" s="529"/>
      <c r="C7" s="532"/>
      <c r="D7" s="92" t="s">
        <v>53</v>
      </c>
      <c r="E7" s="92" t="s">
        <v>72</v>
      </c>
      <c r="F7" s="92" t="s">
        <v>53</v>
      </c>
      <c r="G7" s="92" t="s">
        <v>72</v>
      </c>
      <c r="H7" s="92" t="s">
        <v>53</v>
      </c>
      <c r="I7" s="92" t="s">
        <v>73</v>
      </c>
      <c r="J7" s="92" t="s">
        <v>53</v>
      </c>
      <c r="K7" s="92" t="s">
        <v>73</v>
      </c>
      <c r="L7" s="93" t="s">
        <v>53</v>
      </c>
      <c r="M7" s="93" t="s">
        <v>74</v>
      </c>
      <c r="N7" s="93" t="s">
        <v>73</v>
      </c>
      <c r="O7" s="94" t="s">
        <v>74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2:31" ht="15">
      <c r="B8" s="95" t="s">
        <v>75</v>
      </c>
      <c r="C8" s="96"/>
      <c r="D8" s="97"/>
      <c r="E8" s="97"/>
      <c r="F8" s="97"/>
      <c r="G8" s="97"/>
      <c r="H8" s="97"/>
      <c r="I8" s="97"/>
      <c r="J8" s="97"/>
      <c r="K8" s="97"/>
      <c r="L8" s="98"/>
      <c r="M8" s="98"/>
      <c r="N8" s="98"/>
      <c r="O8" s="9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2:31" ht="21.75" customHeight="1">
      <c r="B9" s="100" t="s">
        <v>76</v>
      </c>
      <c r="C9" s="101">
        <f>716+53+6</f>
        <v>775</v>
      </c>
      <c r="D9" s="101">
        <f>41</f>
        <v>41</v>
      </c>
      <c r="E9" s="101">
        <f>506207</f>
        <v>506207</v>
      </c>
      <c r="F9" s="101">
        <f>611+8</f>
        <v>619</v>
      </c>
      <c r="G9" s="101">
        <f>12116744+170+1051307</f>
        <v>13168221</v>
      </c>
      <c r="H9" s="101">
        <f>26</f>
        <v>26</v>
      </c>
      <c r="I9" s="101">
        <f>19564016</f>
        <v>19564016</v>
      </c>
      <c r="J9" s="101">
        <f>38</f>
        <v>38</v>
      </c>
      <c r="K9" s="101">
        <f>721039</f>
        <v>721039</v>
      </c>
      <c r="L9" s="102">
        <f aca="true" t="shared" si="0" ref="L9:L15">D9+F9+H9+J9</f>
        <v>724</v>
      </c>
      <c r="M9" s="103">
        <f>L9*100/L30</f>
        <v>3.403215192253455</v>
      </c>
      <c r="N9" s="102">
        <f aca="true" t="shared" si="1" ref="N9:N15">E9+G9+I9+K9</f>
        <v>33959483</v>
      </c>
      <c r="O9" s="104">
        <f>N9*100/N30</f>
        <v>13.862552042918983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2:31" ht="21.75" customHeight="1">
      <c r="B10" s="105" t="s">
        <v>77</v>
      </c>
      <c r="C10" s="106">
        <f>619+296+172+627+187+15</f>
        <v>1916</v>
      </c>
      <c r="D10" s="106">
        <f>1+9+9+1</f>
        <v>20</v>
      </c>
      <c r="E10" s="106">
        <f>7499+56700+456503+325915+4418</f>
        <v>851035</v>
      </c>
      <c r="F10" s="106">
        <f>665+75+35+77+16</f>
        <v>868</v>
      </c>
      <c r="G10" s="106">
        <f>8939678+1855051+460025+266172+24580</f>
        <v>11545506</v>
      </c>
      <c r="H10" s="106">
        <f>63+60+139+4</f>
        <v>266</v>
      </c>
      <c r="I10" s="106">
        <f>46114+1383598+848605+38721</f>
        <v>2317038</v>
      </c>
      <c r="J10" s="106">
        <f>29+10+7</f>
        <v>46</v>
      </c>
      <c r="K10" s="106">
        <f>527452+251895+21588</f>
        <v>800935</v>
      </c>
      <c r="L10" s="102">
        <f t="shared" si="0"/>
        <v>1200</v>
      </c>
      <c r="M10" s="107">
        <f>L10*100/L30</f>
        <v>5.6406881639560025</v>
      </c>
      <c r="N10" s="102">
        <f t="shared" si="1"/>
        <v>15514514</v>
      </c>
      <c r="O10" s="108">
        <f>N10*100/N30</f>
        <v>6.33315759682193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2:31" ht="21.75" customHeight="1">
      <c r="B11" s="105" t="s">
        <v>78</v>
      </c>
      <c r="C11" s="106">
        <f>273+4</f>
        <v>277</v>
      </c>
      <c r="D11" s="106">
        <v>0</v>
      </c>
      <c r="E11" s="106">
        <v>0</v>
      </c>
      <c r="F11" s="106">
        <f>321+6</f>
        <v>327</v>
      </c>
      <c r="G11" s="106">
        <f>665329+26704</f>
        <v>692033</v>
      </c>
      <c r="H11" s="106">
        <f>649+36</f>
        <v>685</v>
      </c>
      <c r="I11" s="106">
        <f>1043285+240620</f>
        <v>1283905</v>
      </c>
      <c r="J11" s="106">
        <f>72</f>
        <v>72</v>
      </c>
      <c r="K11" s="106">
        <f>205635</f>
        <v>205635</v>
      </c>
      <c r="L11" s="102">
        <f t="shared" si="0"/>
        <v>1084</v>
      </c>
      <c r="M11" s="107">
        <f>L11*100/L30</f>
        <v>5.0954216414402556</v>
      </c>
      <c r="N11" s="102">
        <f t="shared" si="1"/>
        <v>2181573</v>
      </c>
      <c r="O11" s="108">
        <f>N11*100/N30</f>
        <v>0.8905367978637041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2:31" ht="21.75" customHeight="1">
      <c r="B12" s="105" t="s">
        <v>79</v>
      </c>
      <c r="C12" s="106">
        <f>174+1+1935</f>
        <v>2110</v>
      </c>
      <c r="D12" s="106">
        <v>12</v>
      </c>
      <c r="E12" s="106">
        <v>11408</v>
      </c>
      <c r="F12" s="106">
        <f>1+486</f>
        <v>487</v>
      </c>
      <c r="G12" s="106">
        <f>980+667995</f>
        <v>668975</v>
      </c>
      <c r="H12" s="106">
        <f>141+711</f>
        <v>852</v>
      </c>
      <c r="I12" s="106">
        <f>231781+698305</f>
        <v>930086</v>
      </c>
      <c r="J12" s="106">
        <v>98</v>
      </c>
      <c r="K12" s="106">
        <v>41582</v>
      </c>
      <c r="L12" s="102">
        <f t="shared" si="0"/>
        <v>1449</v>
      </c>
      <c r="M12" s="107">
        <f>L12*100/L30</f>
        <v>6.811130957976873</v>
      </c>
      <c r="N12" s="102">
        <f t="shared" si="1"/>
        <v>1652051</v>
      </c>
      <c r="O12" s="108">
        <f>N12*100/N30</f>
        <v>0.674381378687548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2:31" ht="21.75" customHeight="1">
      <c r="B13" s="105" t="s">
        <v>80</v>
      </c>
      <c r="C13" s="106">
        <v>108</v>
      </c>
      <c r="D13" s="106">
        <v>2</v>
      </c>
      <c r="E13" s="106">
        <v>4308</v>
      </c>
      <c r="F13" s="106">
        <v>41</v>
      </c>
      <c r="G13" s="106">
        <v>993484</v>
      </c>
      <c r="H13" s="106">
        <v>17</v>
      </c>
      <c r="I13" s="106">
        <v>426251</v>
      </c>
      <c r="J13" s="106">
        <v>0</v>
      </c>
      <c r="K13" s="106">
        <v>0</v>
      </c>
      <c r="L13" s="102">
        <f t="shared" si="0"/>
        <v>60</v>
      </c>
      <c r="M13" s="107">
        <f>L13*100/L30</f>
        <v>0.2820344081978001</v>
      </c>
      <c r="N13" s="102">
        <f t="shared" si="1"/>
        <v>1424043</v>
      </c>
      <c r="O13" s="108">
        <f>N13*100/N30</f>
        <v>0.5813065587263057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2:31" ht="21.75" customHeight="1">
      <c r="B14" s="105" t="s">
        <v>81</v>
      </c>
      <c r="C14" s="106">
        <f>5+379+153</f>
        <v>537</v>
      </c>
      <c r="D14" s="106">
        <f>8+1</f>
        <v>9</v>
      </c>
      <c r="E14" s="106">
        <f>7960+91996</f>
        <v>99956</v>
      </c>
      <c r="F14" s="106">
        <f>99+66</f>
        <v>165</v>
      </c>
      <c r="G14" s="106">
        <f>195046+373728</f>
        <v>568774</v>
      </c>
      <c r="H14" s="106">
        <v>86</v>
      </c>
      <c r="I14" s="106">
        <v>137991</v>
      </c>
      <c r="J14" s="106">
        <v>4</v>
      </c>
      <c r="K14" s="106">
        <v>10104</v>
      </c>
      <c r="L14" s="102">
        <f t="shared" si="0"/>
        <v>264</v>
      </c>
      <c r="M14" s="107">
        <f>L14*100/L30</f>
        <v>1.2409513960703207</v>
      </c>
      <c r="N14" s="102">
        <f t="shared" si="1"/>
        <v>816825</v>
      </c>
      <c r="O14" s="108">
        <f>N14*100/N30</f>
        <v>0.3334349663820647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2:31" s="114" customFormat="1" ht="21.75" customHeight="1">
      <c r="B15" s="109" t="s">
        <v>82</v>
      </c>
      <c r="C15" s="110">
        <f aca="true" t="shared" si="2" ref="C15:K15">SUM(C9:C14)</f>
        <v>5723</v>
      </c>
      <c r="D15" s="110">
        <f t="shared" si="2"/>
        <v>84</v>
      </c>
      <c r="E15" s="110">
        <f t="shared" si="2"/>
        <v>1472914</v>
      </c>
      <c r="F15" s="110">
        <f t="shared" si="2"/>
        <v>2507</v>
      </c>
      <c r="G15" s="110">
        <f t="shared" si="2"/>
        <v>27636993</v>
      </c>
      <c r="H15" s="110">
        <f t="shared" si="2"/>
        <v>1932</v>
      </c>
      <c r="I15" s="110">
        <f t="shared" si="2"/>
        <v>24659287</v>
      </c>
      <c r="J15" s="110">
        <f t="shared" si="2"/>
        <v>258</v>
      </c>
      <c r="K15" s="110">
        <f t="shared" si="2"/>
        <v>1779295</v>
      </c>
      <c r="L15" s="102">
        <f t="shared" si="0"/>
        <v>4781</v>
      </c>
      <c r="M15" s="111"/>
      <c r="N15" s="102">
        <f t="shared" si="1"/>
        <v>55548489</v>
      </c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2:31" s="119" customFormat="1" ht="15.75" customHeight="1">
      <c r="B16" s="115" t="s">
        <v>83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02"/>
      <c r="M16" s="117"/>
      <c r="N16" s="102"/>
      <c r="O16" s="112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</row>
    <row r="17" spans="2:31" ht="24.75" customHeight="1">
      <c r="B17" s="105" t="s">
        <v>84</v>
      </c>
      <c r="C17" s="106">
        <f>267+2</f>
        <v>269</v>
      </c>
      <c r="D17" s="106">
        <v>0</v>
      </c>
      <c r="E17" s="106">
        <v>0</v>
      </c>
      <c r="F17" s="106">
        <f>2</f>
        <v>2</v>
      </c>
      <c r="G17" s="106">
        <f>370</f>
        <v>370</v>
      </c>
      <c r="H17" s="106">
        <f>95</f>
        <v>95</v>
      </c>
      <c r="I17" s="106">
        <v>100078</v>
      </c>
      <c r="J17" s="106">
        <f>4</f>
        <v>4</v>
      </c>
      <c r="K17" s="106">
        <f>139</f>
        <v>139</v>
      </c>
      <c r="L17" s="102">
        <f aca="true" t="shared" si="3" ref="L17:L30">D17+F17+H17+J17</f>
        <v>101</v>
      </c>
      <c r="M17" s="107">
        <f>L17*100/L30</f>
        <v>0.4747579204662969</v>
      </c>
      <c r="N17" s="102">
        <f aca="true" t="shared" si="4" ref="N17:N30">E17+G17+I17+K17</f>
        <v>100587</v>
      </c>
      <c r="O17" s="108">
        <f>N17*100/N30</f>
        <v>0.04106047557735469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2:31" s="114" customFormat="1" ht="24.75" customHeight="1">
      <c r="B18" s="120" t="s">
        <v>82</v>
      </c>
      <c r="C18" s="110">
        <f aca="true" t="shared" si="5" ref="C18:K18">SUM(C17:C17)</f>
        <v>269</v>
      </c>
      <c r="D18" s="110">
        <f t="shared" si="5"/>
        <v>0</v>
      </c>
      <c r="E18" s="110">
        <f t="shared" si="5"/>
        <v>0</v>
      </c>
      <c r="F18" s="110">
        <f t="shared" si="5"/>
        <v>2</v>
      </c>
      <c r="G18" s="110">
        <f t="shared" si="5"/>
        <v>370</v>
      </c>
      <c r="H18" s="110">
        <f t="shared" si="5"/>
        <v>95</v>
      </c>
      <c r="I18" s="110">
        <f t="shared" si="5"/>
        <v>100078</v>
      </c>
      <c r="J18" s="110">
        <f t="shared" si="5"/>
        <v>4</v>
      </c>
      <c r="K18" s="110">
        <f t="shared" si="5"/>
        <v>139</v>
      </c>
      <c r="L18" s="102">
        <f t="shared" si="3"/>
        <v>101</v>
      </c>
      <c r="M18" s="111"/>
      <c r="N18" s="102">
        <f t="shared" si="4"/>
        <v>100587</v>
      </c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2:31" s="126" customFormat="1" ht="19.5" customHeight="1" thickBot="1">
      <c r="B19" s="121" t="s">
        <v>85</v>
      </c>
      <c r="C19" s="122">
        <f aca="true" t="shared" si="6" ref="C19:K19">C15+C18</f>
        <v>5992</v>
      </c>
      <c r="D19" s="122">
        <f t="shared" si="6"/>
        <v>84</v>
      </c>
      <c r="E19" s="122">
        <f t="shared" si="6"/>
        <v>1472914</v>
      </c>
      <c r="F19" s="122">
        <f t="shared" si="6"/>
        <v>2509</v>
      </c>
      <c r="G19" s="122">
        <f t="shared" si="6"/>
        <v>27637363</v>
      </c>
      <c r="H19" s="122">
        <f t="shared" si="6"/>
        <v>2027</v>
      </c>
      <c r="I19" s="122">
        <f t="shared" si="6"/>
        <v>24759365</v>
      </c>
      <c r="J19" s="122">
        <f t="shared" si="6"/>
        <v>262</v>
      </c>
      <c r="K19" s="122">
        <f t="shared" si="6"/>
        <v>1779434</v>
      </c>
      <c r="L19" s="123">
        <f t="shared" si="3"/>
        <v>4882</v>
      </c>
      <c r="M19" s="124"/>
      <c r="N19" s="123">
        <f t="shared" si="4"/>
        <v>55649076</v>
      </c>
      <c r="O19" s="125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</row>
    <row r="20" spans="2:31" ht="22.5" customHeight="1" thickTop="1">
      <c r="B20" s="115" t="s">
        <v>86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8">
        <f t="shared" si="3"/>
        <v>0</v>
      </c>
      <c r="M20" s="129"/>
      <c r="N20" s="128">
        <f t="shared" si="4"/>
        <v>0</v>
      </c>
      <c r="O20" s="10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2:31" ht="21.75" customHeight="1">
      <c r="B21" s="105" t="s">
        <v>87</v>
      </c>
      <c r="C21" s="106">
        <v>990</v>
      </c>
      <c r="D21" s="106">
        <v>7</v>
      </c>
      <c r="E21" s="106">
        <v>2834440</v>
      </c>
      <c r="F21" s="106">
        <v>469</v>
      </c>
      <c r="G21" s="106">
        <v>96713686</v>
      </c>
      <c r="H21" s="106">
        <v>80</v>
      </c>
      <c r="I21" s="106">
        <v>24202472</v>
      </c>
      <c r="J21" s="106">
        <v>7</v>
      </c>
      <c r="K21" s="106">
        <v>19148</v>
      </c>
      <c r="L21" s="102">
        <f t="shared" si="3"/>
        <v>563</v>
      </c>
      <c r="M21" s="107">
        <f>L21*100/L30</f>
        <v>2.646422863589358</v>
      </c>
      <c r="N21" s="102">
        <f t="shared" si="4"/>
        <v>123769746</v>
      </c>
      <c r="O21" s="108">
        <f>N21*100/N30</f>
        <v>50.52387120451344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2:31" ht="21.75" customHeight="1">
      <c r="B22" s="105" t="s">
        <v>88</v>
      </c>
      <c r="C22" s="106">
        <f>171+4550+140+26</f>
        <v>4887</v>
      </c>
      <c r="D22" s="106">
        <f>296</f>
        <v>296</v>
      </c>
      <c r="E22" s="106">
        <f>1342749</f>
        <v>1342749</v>
      </c>
      <c r="F22" s="106">
        <f>18+2399+5+30</f>
        <v>2452</v>
      </c>
      <c r="G22" s="106">
        <f>48626+9706750+2988+147178</f>
        <v>9905542</v>
      </c>
      <c r="H22" s="106">
        <f>79+5309+33</f>
        <v>5421</v>
      </c>
      <c r="I22" s="106">
        <f>198956+9706750+51812</f>
        <v>9957518</v>
      </c>
      <c r="J22" s="106">
        <f>17+1302+5</f>
        <v>1324</v>
      </c>
      <c r="K22" s="106">
        <f>39688+4056211+4009</f>
        <v>4099908</v>
      </c>
      <c r="L22" s="102">
        <f t="shared" si="3"/>
        <v>9493</v>
      </c>
      <c r="M22" s="107">
        <f>L22*100/L30</f>
        <v>44.622543950361944</v>
      </c>
      <c r="N22" s="102">
        <f t="shared" si="4"/>
        <v>25305717</v>
      </c>
      <c r="O22" s="108">
        <f>N22*100/N30</f>
        <v>10.330010586317808</v>
      </c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2:31" ht="21.75" customHeight="1">
      <c r="B23" s="105" t="s">
        <v>89</v>
      </c>
      <c r="C23" s="106">
        <f>2+832+34+109</f>
        <v>977</v>
      </c>
      <c r="D23" s="106">
        <v>133</v>
      </c>
      <c r="E23" s="106">
        <v>2622056</v>
      </c>
      <c r="F23" s="106">
        <f>444+11</f>
        <v>455</v>
      </c>
      <c r="G23" s="106">
        <f>5262285+10595</f>
        <v>5272880</v>
      </c>
      <c r="H23" s="106">
        <f>18+23</f>
        <v>41</v>
      </c>
      <c r="I23" s="106">
        <f>95475+448370</f>
        <v>543845</v>
      </c>
      <c r="J23" s="106">
        <f>8</f>
        <v>8</v>
      </c>
      <c r="K23" s="106">
        <v>63570</v>
      </c>
      <c r="L23" s="102">
        <f t="shared" si="3"/>
        <v>637</v>
      </c>
      <c r="M23" s="107">
        <f>L23*100/L30</f>
        <v>2.994265300366645</v>
      </c>
      <c r="N23" s="102">
        <f t="shared" si="4"/>
        <v>8502351</v>
      </c>
      <c r="O23" s="108">
        <f>N23*100/N30</f>
        <v>3.470732555753698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2:31" ht="21.75" customHeight="1">
      <c r="B24" s="105" t="s">
        <v>90</v>
      </c>
      <c r="C24" s="106">
        <f>525+294+2</f>
        <v>821</v>
      </c>
      <c r="D24" s="106">
        <f>31+7</f>
        <v>38</v>
      </c>
      <c r="E24" s="106">
        <f>92433+118710</f>
        <v>211143</v>
      </c>
      <c r="F24" s="106">
        <f>498+51</f>
        <v>549</v>
      </c>
      <c r="G24" s="106">
        <f>3093423+727147</f>
        <v>3820570</v>
      </c>
      <c r="H24" s="106">
        <f>482+28+70</f>
        <v>580</v>
      </c>
      <c r="I24" s="106">
        <f>1768754+257470+202999</f>
        <v>2229223</v>
      </c>
      <c r="J24" s="106">
        <f>55+1</f>
        <v>56</v>
      </c>
      <c r="K24" s="106">
        <f>676529+2999</f>
        <v>679528</v>
      </c>
      <c r="L24" s="102">
        <f t="shared" si="3"/>
        <v>1223</v>
      </c>
      <c r="M24" s="107">
        <f>L24*100/L30</f>
        <v>5.74880135376516</v>
      </c>
      <c r="N24" s="102">
        <f t="shared" si="4"/>
        <v>6940464</v>
      </c>
      <c r="O24" s="108">
        <f>N24*100/N30</f>
        <v>2.833156894703187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2:31" ht="21.75" customHeight="1">
      <c r="B25" s="105" t="s">
        <v>91</v>
      </c>
      <c r="C25" s="106">
        <f>180+105</f>
        <v>285</v>
      </c>
      <c r="D25" s="106">
        <f>17</f>
        <v>17</v>
      </c>
      <c r="E25" s="106">
        <v>15521</v>
      </c>
      <c r="F25" s="106">
        <f>152+42</f>
        <v>194</v>
      </c>
      <c r="G25" s="106">
        <f>1469089+3238818</f>
        <v>4707907</v>
      </c>
      <c r="H25" s="106">
        <f>4</f>
        <v>4</v>
      </c>
      <c r="I25" s="106">
        <f>77175</f>
        <v>77175</v>
      </c>
      <c r="J25" s="106">
        <v>1</v>
      </c>
      <c r="K25" s="106">
        <v>1074</v>
      </c>
      <c r="L25" s="102">
        <f t="shared" si="3"/>
        <v>216</v>
      </c>
      <c r="M25" s="107">
        <f>L25*100/L30</f>
        <v>1.0153238695120805</v>
      </c>
      <c r="N25" s="102">
        <f t="shared" si="4"/>
        <v>4801677</v>
      </c>
      <c r="O25" s="108">
        <f>N25*100/N30</f>
        <v>1.9600857087779309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2:31" ht="21.75" customHeight="1">
      <c r="B26" s="105" t="s">
        <v>92</v>
      </c>
      <c r="C26" s="106">
        <f>1059+1</f>
        <v>1060</v>
      </c>
      <c r="D26" s="106">
        <f>32</f>
        <v>32</v>
      </c>
      <c r="E26" s="106">
        <f>115296</f>
        <v>115296</v>
      </c>
      <c r="F26" s="106">
        <f>232</f>
        <v>232</v>
      </c>
      <c r="G26" s="106">
        <f>2415492</f>
        <v>2415492</v>
      </c>
      <c r="H26" s="106">
        <f>282</f>
        <v>282</v>
      </c>
      <c r="I26" s="106">
        <f>932458</f>
        <v>932458</v>
      </c>
      <c r="J26" s="106">
        <f>26</f>
        <v>26</v>
      </c>
      <c r="K26" s="106">
        <f>99604</f>
        <v>99604</v>
      </c>
      <c r="L26" s="102">
        <f t="shared" si="3"/>
        <v>572</v>
      </c>
      <c r="M26" s="107">
        <f>L26*100/L30</f>
        <v>2.688728024819028</v>
      </c>
      <c r="N26" s="102">
        <f t="shared" si="4"/>
        <v>3562850</v>
      </c>
      <c r="O26" s="108">
        <f>N26*100/N30</f>
        <v>1.4543859088229907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2:31" ht="21.75" customHeight="1">
      <c r="B27" s="105" t="s">
        <v>93</v>
      </c>
      <c r="C27" s="106">
        <f>482+6</f>
        <v>488</v>
      </c>
      <c r="D27" s="106">
        <v>7</v>
      </c>
      <c r="E27" s="106">
        <v>3387</v>
      </c>
      <c r="F27" s="106">
        <v>134</v>
      </c>
      <c r="G27" s="106">
        <v>264715</v>
      </c>
      <c r="H27" s="106">
        <v>62</v>
      </c>
      <c r="I27" s="106">
        <v>251957</v>
      </c>
      <c r="J27" s="106">
        <v>17</v>
      </c>
      <c r="K27" s="106">
        <v>6235</v>
      </c>
      <c r="L27" s="102">
        <f t="shared" si="3"/>
        <v>220</v>
      </c>
      <c r="M27" s="107">
        <f>L27*100/L30</f>
        <v>1.0341261633919339</v>
      </c>
      <c r="N27" s="102">
        <f t="shared" si="4"/>
        <v>526294</v>
      </c>
      <c r="O27" s="108">
        <f>N27*100/N30</f>
        <v>0.21483772190748615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2:31" ht="21.75" customHeight="1">
      <c r="B28" s="105" t="s">
        <v>94</v>
      </c>
      <c r="C28" s="106">
        <f>413+9</f>
        <v>422</v>
      </c>
      <c r="D28" s="106">
        <f>10</f>
        <v>10</v>
      </c>
      <c r="E28" s="106">
        <f>3787</f>
        <v>3787</v>
      </c>
      <c r="F28" s="106">
        <f>92+1</f>
        <v>93</v>
      </c>
      <c r="G28" s="106">
        <f>341521+78540</f>
        <v>420061</v>
      </c>
      <c r="H28" s="106">
        <f>11</f>
        <v>11</v>
      </c>
      <c r="I28" s="106">
        <v>7519</v>
      </c>
      <c r="J28" s="106">
        <f>7</f>
        <v>7</v>
      </c>
      <c r="K28" s="106">
        <f>49110</f>
        <v>49110</v>
      </c>
      <c r="L28" s="102">
        <f t="shared" si="3"/>
        <v>121</v>
      </c>
      <c r="M28" s="107">
        <f>L28*100/L30</f>
        <v>0.5687693898655636</v>
      </c>
      <c r="N28" s="102">
        <f t="shared" si="4"/>
        <v>480477</v>
      </c>
      <c r="O28" s="108">
        <f>N28*100/N30</f>
        <v>0.1961348297889454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2:31" ht="21.75" customHeight="1" thickBot="1">
      <c r="B29" s="105" t="s">
        <v>95</v>
      </c>
      <c r="C29" s="106">
        <f>C30-C19-C21-C22-C23-C24-C25-C26-C27-C28</f>
        <v>14745</v>
      </c>
      <c r="D29" s="106">
        <f aca="true" t="shared" si="7" ref="D29:K29">D30-D19-D21-D22-D23-D24-D25-D26-D27-D28</f>
        <v>295</v>
      </c>
      <c r="E29" s="106">
        <f t="shared" si="7"/>
        <v>328476</v>
      </c>
      <c r="F29" s="106">
        <f t="shared" si="7"/>
        <v>2079</v>
      </c>
      <c r="G29" s="106">
        <f t="shared" si="7"/>
        <v>5261470</v>
      </c>
      <c r="H29" s="106">
        <f t="shared" si="7"/>
        <v>586</v>
      </c>
      <c r="I29" s="106">
        <f t="shared" si="7"/>
        <v>9349898</v>
      </c>
      <c r="J29" s="106">
        <f t="shared" si="7"/>
        <v>387</v>
      </c>
      <c r="K29" s="106">
        <f t="shared" si="7"/>
        <v>494312</v>
      </c>
      <c r="L29" s="123">
        <f t="shared" si="3"/>
        <v>3347</v>
      </c>
      <c r="M29" s="130">
        <f>L29*100/L30</f>
        <v>15.732819403967284</v>
      </c>
      <c r="N29" s="123">
        <f t="shared" si="4"/>
        <v>15434156</v>
      </c>
      <c r="O29" s="131">
        <f>N29*100/N30</f>
        <v>6.300354772436621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2:31" ht="24.75" customHeight="1" thickBot="1" thickTop="1">
      <c r="B30" s="132" t="s">
        <v>82</v>
      </c>
      <c r="C30" s="133">
        <v>30667</v>
      </c>
      <c r="D30" s="133">
        <v>919</v>
      </c>
      <c r="E30" s="133">
        <v>8949769</v>
      </c>
      <c r="F30" s="133">
        <v>9166</v>
      </c>
      <c r="G30" s="133">
        <v>156419686</v>
      </c>
      <c r="H30" s="133">
        <v>9094</v>
      </c>
      <c r="I30" s="133">
        <v>72311430</v>
      </c>
      <c r="J30" s="133">
        <v>2095</v>
      </c>
      <c r="K30" s="133">
        <v>7291923</v>
      </c>
      <c r="L30" s="134">
        <f t="shared" si="3"/>
        <v>21274</v>
      </c>
      <c r="M30" s="135">
        <f>SUM(M9:M29)</f>
        <v>100</v>
      </c>
      <c r="N30" s="136">
        <f t="shared" si="4"/>
        <v>244972808</v>
      </c>
      <c r="O30" s="137">
        <f>SUM(O9:O29)</f>
        <v>99.99999999999997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2:31" ht="15.75" thickTop="1">
      <c r="B31" s="8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2:31" ht="15">
      <c r="B32" s="89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2:31" ht="15">
      <c r="B33" s="89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2:31" ht="15">
      <c r="B34" s="89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2:31" ht="15">
      <c r="B35" s="89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2:31" ht="15">
      <c r="B36" s="89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2:31" ht="15">
      <c r="B37" s="8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2:31" ht="15">
      <c r="B38" s="8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2:31" ht="15">
      <c r="B39" s="89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2:31" ht="15">
      <c r="B40" s="89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2:31" ht="15">
      <c r="B41" s="89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2:31" ht="15">
      <c r="B42" s="89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</row>
    <row r="43" spans="2:31" ht="15">
      <c r="B43" s="89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2:31" ht="15">
      <c r="B44" s="8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2:31" ht="15">
      <c r="B45" s="89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2:31" ht="15">
      <c r="B46" s="89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2:31" ht="15">
      <c r="B47" s="89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2:31" ht="15">
      <c r="B48" s="89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2:31" ht="15">
      <c r="B49" s="89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2:31" ht="15">
      <c r="B50" s="89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2:31" ht="15">
      <c r="B51" s="89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2:31" ht="15">
      <c r="B52" s="89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2:31" ht="15">
      <c r="B53" s="89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2:31" ht="15">
      <c r="B54" s="89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2:31" ht="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2:31" ht="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2:31" ht="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2:31" ht="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2:31" ht="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2:31" ht="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2:31" ht="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2:31" ht="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2:31" ht="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2:31" ht="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</sheetData>
  <mergeCells count="10">
    <mergeCell ref="B1:O1"/>
    <mergeCell ref="B2:O2"/>
    <mergeCell ref="B5:B7"/>
    <mergeCell ref="C5:C7"/>
    <mergeCell ref="L6:O6"/>
    <mergeCell ref="F6:G6"/>
    <mergeCell ref="D6:E6"/>
    <mergeCell ref="H6:I6"/>
    <mergeCell ref="J6:K6"/>
    <mergeCell ref="D5:O5"/>
  </mergeCells>
  <printOptions horizontalCentered="1" verticalCentered="1"/>
  <pageMargins left="0.7874015748031497" right="0.7874015748031497" top="0.3937007874015748" bottom="0.984251968503937" header="0" footer="0.5118110236220472"/>
  <pageSetup horizontalDpi="360" verticalDpi="36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41"/>
  <sheetViews>
    <sheetView workbookViewId="0" topLeftCell="B1">
      <selection activeCell="K33" sqref="K33"/>
    </sheetView>
  </sheetViews>
  <sheetFormatPr defaultColWidth="9.140625" defaultRowHeight="12.75"/>
  <cols>
    <col min="1" max="1" width="7.28125" style="139" customWidth="1"/>
    <col min="2" max="2" width="3.00390625" style="139" customWidth="1"/>
    <col min="3" max="3" width="39.28125" style="139" customWidth="1"/>
    <col min="4" max="4" width="9.140625" style="139" customWidth="1"/>
    <col min="5" max="5" width="11.7109375" style="139" customWidth="1"/>
    <col min="6" max="6" width="10.57421875" style="139" customWidth="1"/>
    <col min="7" max="7" width="7.00390625" style="139" customWidth="1"/>
    <col min="8" max="8" width="7.28125" style="139" customWidth="1"/>
    <col min="9" max="9" width="10.421875" style="139" customWidth="1"/>
    <col min="10" max="10" width="6.421875" style="139" customWidth="1"/>
    <col min="11" max="11" width="6.140625" style="139" customWidth="1"/>
    <col min="12" max="12" width="23.421875" style="139" customWidth="1"/>
    <col min="13" max="16384" width="9.140625" style="139" customWidth="1"/>
  </cols>
  <sheetData>
    <row r="1" ht="18">
      <c r="D1" s="140" t="s">
        <v>96</v>
      </c>
    </row>
    <row r="2" ht="15">
      <c r="E2" s="141"/>
    </row>
    <row r="3" ht="18" customHeight="1" thickBot="1">
      <c r="C3" s="141" t="s">
        <v>97</v>
      </c>
    </row>
    <row r="4" spans="3:12" ht="13.5" thickBot="1">
      <c r="C4" s="512" t="s">
        <v>98</v>
      </c>
      <c r="D4" s="502" t="s">
        <v>99</v>
      </c>
      <c r="E4" s="502" t="s">
        <v>100</v>
      </c>
      <c r="F4" s="502" t="s">
        <v>101</v>
      </c>
      <c r="G4" s="506" t="s">
        <v>102</v>
      </c>
      <c r="H4" s="507"/>
      <c r="I4" s="507"/>
      <c r="J4" s="507"/>
      <c r="K4" s="508"/>
      <c r="L4" s="502" t="s">
        <v>103</v>
      </c>
    </row>
    <row r="5" spans="3:12" ht="13.5" thickBot="1">
      <c r="C5" s="513"/>
      <c r="D5" s="515"/>
      <c r="E5" s="503"/>
      <c r="F5" s="503"/>
      <c r="G5" s="505" t="s">
        <v>104</v>
      </c>
      <c r="H5" s="505" t="s">
        <v>105</v>
      </c>
      <c r="I5" s="509" t="s">
        <v>106</v>
      </c>
      <c r="J5" s="510"/>
      <c r="K5" s="511"/>
      <c r="L5" s="503"/>
    </row>
    <row r="6" spans="3:12" ht="13.5" thickBot="1">
      <c r="C6" s="514"/>
      <c r="D6" s="516"/>
      <c r="E6" s="504"/>
      <c r="F6" s="504"/>
      <c r="G6" s="504"/>
      <c r="H6" s="504"/>
      <c r="I6" s="142" t="s">
        <v>107</v>
      </c>
      <c r="J6" s="143" t="s">
        <v>108</v>
      </c>
      <c r="K6" s="144" t="s">
        <v>109</v>
      </c>
      <c r="L6" s="504"/>
    </row>
    <row r="7" spans="3:12" ht="15">
      <c r="C7" s="145" t="s">
        <v>110</v>
      </c>
      <c r="D7" s="146"/>
      <c r="E7" s="147"/>
      <c r="F7" s="146"/>
      <c r="G7" s="147"/>
      <c r="H7" s="148"/>
      <c r="I7" s="146"/>
      <c r="J7" s="146"/>
      <c r="K7" s="146"/>
      <c r="L7" s="149"/>
    </row>
    <row r="8" spans="3:12" ht="12.75">
      <c r="C8" s="150" t="s">
        <v>111</v>
      </c>
      <c r="D8" s="151">
        <v>108</v>
      </c>
      <c r="E8" s="151">
        <v>114</v>
      </c>
      <c r="F8" s="151">
        <v>21</v>
      </c>
      <c r="G8" s="151">
        <v>93</v>
      </c>
      <c r="H8" s="152">
        <f aca="true" t="shared" si="0" ref="H8:H13">G8/E8*100</f>
        <v>81.57894736842105</v>
      </c>
      <c r="I8" s="151">
        <v>62</v>
      </c>
      <c r="J8" s="151">
        <v>17</v>
      </c>
      <c r="K8" s="151">
        <f>G8-I8-J8</f>
        <v>14</v>
      </c>
      <c r="L8" s="153" t="s">
        <v>112</v>
      </c>
    </row>
    <row r="9" spans="3:12" ht="12.75">
      <c r="C9" s="150" t="s">
        <v>113</v>
      </c>
      <c r="D9" s="151">
        <v>161</v>
      </c>
      <c r="E9" s="151">
        <v>172</v>
      </c>
      <c r="F9" s="151">
        <v>88</v>
      </c>
      <c r="G9" s="151">
        <v>84</v>
      </c>
      <c r="H9" s="152">
        <f t="shared" si="0"/>
        <v>48.837209302325576</v>
      </c>
      <c r="I9" s="151">
        <v>76</v>
      </c>
      <c r="J9" s="151">
        <v>7</v>
      </c>
      <c r="K9" s="151">
        <f>G9-I9-J9</f>
        <v>1</v>
      </c>
      <c r="L9" s="153" t="s">
        <v>114</v>
      </c>
    </row>
    <row r="10" spans="3:12" ht="12.75">
      <c r="C10" s="150" t="s">
        <v>115</v>
      </c>
      <c r="D10" s="151">
        <v>16</v>
      </c>
      <c r="E10" s="151">
        <v>16</v>
      </c>
      <c r="F10" s="151">
        <v>3</v>
      </c>
      <c r="G10" s="151">
        <v>13</v>
      </c>
      <c r="H10" s="152">
        <f t="shared" si="0"/>
        <v>81.25</v>
      </c>
      <c r="I10" s="151" t="s">
        <v>116</v>
      </c>
      <c r="J10" s="151">
        <v>6</v>
      </c>
      <c r="K10" s="151">
        <v>7</v>
      </c>
      <c r="L10" s="153" t="s">
        <v>117</v>
      </c>
    </row>
    <row r="11" spans="3:12" ht="12.75">
      <c r="C11" s="154" t="s">
        <v>118</v>
      </c>
      <c r="D11" s="151">
        <v>12</v>
      </c>
      <c r="E11" s="151">
        <v>12</v>
      </c>
      <c r="F11" s="151">
        <v>7</v>
      </c>
      <c r="G11" s="151">
        <v>5</v>
      </c>
      <c r="H11" s="152">
        <f t="shared" si="0"/>
        <v>41.66666666666667</v>
      </c>
      <c r="I11" s="151" t="s">
        <v>116</v>
      </c>
      <c r="J11" s="151" t="s">
        <v>116</v>
      </c>
      <c r="K11" s="151">
        <v>5</v>
      </c>
      <c r="L11" s="153" t="s">
        <v>119</v>
      </c>
    </row>
    <row r="12" spans="3:12" ht="12.75">
      <c r="C12" s="150"/>
      <c r="D12" s="151"/>
      <c r="E12" s="151"/>
      <c r="F12" s="151"/>
      <c r="G12" s="151"/>
      <c r="H12" s="152"/>
      <c r="I12" s="151"/>
      <c r="J12" s="151"/>
      <c r="K12" s="151"/>
      <c r="L12" s="153"/>
    </row>
    <row r="13" spans="3:12" ht="12.75">
      <c r="C13" s="155" t="s">
        <v>120</v>
      </c>
      <c r="D13" s="156">
        <f>SUM(D8:D12)</f>
        <v>297</v>
      </c>
      <c r="E13" s="156">
        <f>SUM(E8:E12)</f>
        <v>314</v>
      </c>
      <c r="F13" s="156">
        <f>SUM(F8:F12)</f>
        <v>119</v>
      </c>
      <c r="G13" s="156">
        <f>SUM(G8:G12)</f>
        <v>195</v>
      </c>
      <c r="H13" s="157">
        <f t="shared" si="0"/>
        <v>62.101910828025474</v>
      </c>
      <c r="I13" s="156">
        <f>SUM(I8:I12)</f>
        <v>138</v>
      </c>
      <c r="J13" s="156">
        <f>SUM(J8:J12)</f>
        <v>30</v>
      </c>
      <c r="K13" s="156">
        <f>SUM(K8:K12)</f>
        <v>27</v>
      </c>
      <c r="L13" s="158" t="s">
        <v>116</v>
      </c>
    </row>
    <row r="14" spans="3:12" ht="12.75">
      <c r="C14" s="499"/>
      <c r="D14" s="500"/>
      <c r="E14" s="500"/>
      <c r="F14" s="500"/>
      <c r="G14" s="500"/>
      <c r="H14" s="500"/>
      <c r="I14" s="500"/>
      <c r="J14" s="500"/>
      <c r="K14" s="500"/>
      <c r="L14" s="501"/>
    </row>
    <row r="15" spans="3:12" ht="12.75">
      <c r="C15" s="155" t="s">
        <v>121</v>
      </c>
      <c r="D15" s="159"/>
      <c r="E15" s="159"/>
      <c r="F15" s="160"/>
      <c r="G15" s="159"/>
      <c r="H15" s="161"/>
      <c r="I15" s="159"/>
      <c r="J15" s="159"/>
      <c r="K15" s="159"/>
      <c r="L15" s="162"/>
    </row>
    <row r="16" spans="3:12" ht="13.5" customHeight="1">
      <c r="C16" s="150" t="s">
        <v>122</v>
      </c>
      <c r="D16" s="151">
        <v>2</v>
      </c>
      <c r="E16" s="151">
        <v>2</v>
      </c>
      <c r="F16" s="151">
        <v>1</v>
      </c>
      <c r="G16" s="151">
        <v>1</v>
      </c>
      <c r="H16" s="163">
        <f aca="true" t="shared" si="1" ref="H16:H33">G16/E16*100</f>
        <v>50</v>
      </c>
      <c r="I16" s="151">
        <v>1</v>
      </c>
      <c r="J16" s="151" t="s">
        <v>64</v>
      </c>
      <c r="K16" s="151" t="s">
        <v>64</v>
      </c>
      <c r="L16" s="153">
        <v>104</v>
      </c>
    </row>
    <row r="17" spans="3:12" ht="13.5" customHeight="1">
      <c r="C17" s="154" t="s">
        <v>123</v>
      </c>
      <c r="D17" s="151">
        <v>23</v>
      </c>
      <c r="E17" s="151">
        <v>26</v>
      </c>
      <c r="F17" s="151">
        <v>0</v>
      </c>
      <c r="G17" s="151">
        <v>26</v>
      </c>
      <c r="H17" s="163">
        <f>G17/E17*100</f>
        <v>100</v>
      </c>
      <c r="I17" s="151" t="s">
        <v>64</v>
      </c>
      <c r="J17" s="151" t="s">
        <v>64</v>
      </c>
      <c r="K17" s="151">
        <v>26</v>
      </c>
      <c r="L17" s="153" t="s">
        <v>154</v>
      </c>
    </row>
    <row r="18" spans="3:12" ht="12.75">
      <c r="C18" s="150" t="s">
        <v>124</v>
      </c>
      <c r="D18" s="151">
        <v>27</v>
      </c>
      <c r="E18" s="151">
        <v>27</v>
      </c>
      <c r="F18" s="151">
        <v>0</v>
      </c>
      <c r="G18" s="151">
        <v>27</v>
      </c>
      <c r="H18" s="163">
        <f t="shared" si="1"/>
        <v>100</v>
      </c>
      <c r="I18" s="151">
        <v>16</v>
      </c>
      <c r="J18" s="151" t="s">
        <v>125</v>
      </c>
      <c r="K18" s="151">
        <v>11</v>
      </c>
      <c r="L18" s="153">
        <v>104</v>
      </c>
    </row>
    <row r="19" spans="3:12" ht="12.75">
      <c r="C19" s="150" t="s">
        <v>126</v>
      </c>
      <c r="D19" s="151">
        <v>28</v>
      </c>
      <c r="E19" s="151">
        <v>28</v>
      </c>
      <c r="F19" s="151">
        <v>7</v>
      </c>
      <c r="G19" s="151">
        <v>21</v>
      </c>
      <c r="H19" s="163">
        <f t="shared" si="1"/>
        <v>75</v>
      </c>
      <c r="I19" s="151">
        <v>11</v>
      </c>
      <c r="J19" s="151" t="s">
        <v>125</v>
      </c>
      <c r="K19" s="151">
        <v>10</v>
      </c>
      <c r="L19" s="153">
        <v>129</v>
      </c>
    </row>
    <row r="20" spans="3:12" ht="12.75">
      <c r="C20" s="150" t="s">
        <v>127</v>
      </c>
      <c r="D20" s="151">
        <v>6</v>
      </c>
      <c r="E20" s="151">
        <v>6</v>
      </c>
      <c r="F20" s="151">
        <v>0</v>
      </c>
      <c r="G20" s="151">
        <v>6</v>
      </c>
      <c r="H20" s="163">
        <f>G20/D20*100</f>
        <v>100</v>
      </c>
      <c r="I20" s="151">
        <v>1</v>
      </c>
      <c r="J20" s="151" t="s">
        <v>64</v>
      </c>
      <c r="K20" s="151">
        <v>5</v>
      </c>
      <c r="L20" s="153">
        <v>103</v>
      </c>
    </row>
    <row r="21" spans="3:12" ht="12.75">
      <c r="C21" s="164" t="s">
        <v>128</v>
      </c>
      <c r="D21" s="165">
        <v>0</v>
      </c>
      <c r="E21" s="165">
        <v>2</v>
      </c>
      <c r="F21" s="165">
        <v>0</v>
      </c>
      <c r="G21" s="165">
        <v>2</v>
      </c>
      <c r="H21" s="166">
        <f t="shared" si="1"/>
        <v>100</v>
      </c>
      <c r="I21" s="165">
        <v>2</v>
      </c>
      <c r="J21" s="165" t="s">
        <v>64</v>
      </c>
      <c r="K21" s="151" t="s">
        <v>64</v>
      </c>
      <c r="L21" s="167" t="s">
        <v>129</v>
      </c>
    </row>
    <row r="22" spans="3:12" ht="12.75">
      <c r="C22" s="164" t="s">
        <v>130</v>
      </c>
      <c r="D22" s="165">
        <v>4</v>
      </c>
      <c r="E22" s="165">
        <v>4</v>
      </c>
      <c r="F22" s="165">
        <v>3</v>
      </c>
      <c r="G22" s="165">
        <v>1</v>
      </c>
      <c r="H22" s="166">
        <f t="shared" si="1"/>
        <v>25</v>
      </c>
      <c r="I22" s="165">
        <v>1</v>
      </c>
      <c r="J22" s="165" t="s">
        <v>64</v>
      </c>
      <c r="K22" s="151" t="s">
        <v>64</v>
      </c>
      <c r="L22" s="167" t="s">
        <v>131</v>
      </c>
    </row>
    <row r="23" spans="3:12" ht="12.75">
      <c r="C23" s="164" t="s">
        <v>132</v>
      </c>
      <c r="D23" s="165">
        <v>1</v>
      </c>
      <c r="E23" s="165">
        <v>1</v>
      </c>
      <c r="F23" s="165">
        <v>0</v>
      </c>
      <c r="G23" s="165">
        <v>1</v>
      </c>
      <c r="H23" s="166">
        <f t="shared" si="1"/>
        <v>100</v>
      </c>
      <c r="I23" s="165">
        <v>1</v>
      </c>
      <c r="J23" s="165" t="s">
        <v>64</v>
      </c>
      <c r="K23" s="151" t="s">
        <v>64</v>
      </c>
      <c r="L23" s="167">
        <v>104</v>
      </c>
    </row>
    <row r="24" spans="3:12" ht="12.75">
      <c r="C24" s="164" t="s">
        <v>133</v>
      </c>
      <c r="D24" s="165">
        <v>3</v>
      </c>
      <c r="E24" s="165">
        <v>3</v>
      </c>
      <c r="F24" s="165">
        <v>2</v>
      </c>
      <c r="G24" s="165">
        <v>1</v>
      </c>
      <c r="H24" s="166">
        <f t="shared" si="1"/>
        <v>33.33333333333333</v>
      </c>
      <c r="I24" s="165">
        <v>1</v>
      </c>
      <c r="J24" s="165" t="s">
        <v>64</v>
      </c>
      <c r="K24" s="151" t="s">
        <v>64</v>
      </c>
      <c r="L24" s="167">
        <v>111</v>
      </c>
    </row>
    <row r="25" spans="3:12" s="168" customFormat="1" ht="12.75">
      <c r="C25" s="164" t="s">
        <v>134</v>
      </c>
      <c r="D25" s="165">
        <v>5</v>
      </c>
      <c r="E25" s="165">
        <v>5</v>
      </c>
      <c r="F25" s="165">
        <v>5</v>
      </c>
      <c r="G25" s="165" t="s">
        <v>125</v>
      </c>
      <c r="H25" s="166" t="s">
        <v>64</v>
      </c>
      <c r="I25" s="165" t="s">
        <v>64</v>
      </c>
      <c r="J25" s="165" t="s">
        <v>64</v>
      </c>
      <c r="K25" s="151" t="s">
        <v>64</v>
      </c>
      <c r="L25" s="167">
        <v>119</v>
      </c>
    </row>
    <row r="26" spans="3:12" ht="12.75">
      <c r="C26" s="164" t="s">
        <v>135</v>
      </c>
      <c r="D26" s="165">
        <v>1</v>
      </c>
      <c r="E26" s="165">
        <v>5</v>
      </c>
      <c r="F26" s="165">
        <v>4</v>
      </c>
      <c r="G26" s="165">
        <v>1</v>
      </c>
      <c r="H26" s="166">
        <f t="shared" si="1"/>
        <v>20</v>
      </c>
      <c r="I26" s="165">
        <v>1</v>
      </c>
      <c r="J26" s="165" t="s">
        <v>64</v>
      </c>
      <c r="K26" s="151" t="s">
        <v>64</v>
      </c>
      <c r="L26" s="167" t="s">
        <v>136</v>
      </c>
    </row>
    <row r="27" spans="3:12" ht="12.75">
      <c r="C27" s="164" t="s">
        <v>137</v>
      </c>
      <c r="D27" s="165" t="s">
        <v>64</v>
      </c>
      <c r="E27" s="165">
        <v>1</v>
      </c>
      <c r="F27" s="165">
        <v>1</v>
      </c>
      <c r="G27" s="165" t="s">
        <v>64</v>
      </c>
      <c r="H27" s="169" t="s">
        <v>116</v>
      </c>
      <c r="I27" s="165" t="s">
        <v>64</v>
      </c>
      <c r="J27" s="165" t="s">
        <v>64</v>
      </c>
      <c r="K27" s="151" t="s">
        <v>64</v>
      </c>
      <c r="L27" s="167" t="s">
        <v>138</v>
      </c>
    </row>
    <row r="28" spans="3:12" ht="12.75">
      <c r="C28" s="164" t="s">
        <v>139</v>
      </c>
      <c r="D28" s="165">
        <v>23</v>
      </c>
      <c r="E28" s="165">
        <v>23</v>
      </c>
      <c r="F28" s="165">
        <v>1</v>
      </c>
      <c r="G28" s="165">
        <v>22</v>
      </c>
      <c r="H28" s="166">
        <f t="shared" si="1"/>
        <v>95.65217391304348</v>
      </c>
      <c r="I28" s="165" t="s">
        <v>140</v>
      </c>
      <c r="J28" s="165" t="s">
        <v>141</v>
      </c>
      <c r="K28" s="151">
        <v>22</v>
      </c>
      <c r="L28" s="167" t="s">
        <v>142</v>
      </c>
    </row>
    <row r="29" spans="3:12" ht="12.75">
      <c r="C29" s="164" t="s">
        <v>143</v>
      </c>
      <c r="D29" s="165">
        <v>8</v>
      </c>
      <c r="E29" s="165">
        <v>8</v>
      </c>
      <c r="F29" s="165">
        <v>1</v>
      </c>
      <c r="G29" s="165">
        <v>7</v>
      </c>
      <c r="H29" s="166">
        <f t="shared" si="1"/>
        <v>87.5</v>
      </c>
      <c r="I29" s="165" t="s">
        <v>144</v>
      </c>
      <c r="J29" s="165" t="s">
        <v>144</v>
      </c>
      <c r="K29" s="151">
        <v>7</v>
      </c>
      <c r="L29" s="167" t="s">
        <v>142</v>
      </c>
    </row>
    <row r="30" spans="3:12" ht="12.75">
      <c r="C30" s="164" t="s">
        <v>145</v>
      </c>
      <c r="D30" s="165">
        <v>2</v>
      </c>
      <c r="E30" s="165">
        <v>2</v>
      </c>
      <c r="F30" s="165">
        <v>0</v>
      </c>
      <c r="G30" s="165">
        <v>2</v>
      </c>
      <c r="H30" s="166">
        <f t="shared" si="1"/>
        <v>100</v>
      </c>
      <c r="I30" s="165" t="s">
        <v>144</v>
      </c>
      <c r="J30" s="165" t="s">
        <v>144</v>
      </c>
      <c r="K30" s="151">
        <v>2</v>
      </c>
      <c r="L30" s="167" t="s">
        <v>142</v>
      </c>
    </row>
    <row r="31" spans="3:12" ht="12.75">
      <c r="C31" s="164" t="s">
        <v>146</v>
      </c>
      <c r="D31" s="165">
        <v>1</v>
      </c>
      <c r="E31" s="165" t="s">
        <v>125</v>
      </c>
      <c r="F31" s="165">
        <v>0</v>
      </c>
      <c r="G31" s="165">
        <v>0</v>
      </c>
      <c r="H31" s="166" t="s">
        <v>64</v>
      </c>
      <c r="I31" s="165" t="s">
        <v>64</v>
      </c>
      <c r="J31" s="165" t="s">
        <v>64</v>
      </c>
      <c r="K31" s="151" t="s">
        <v>125</v>
      </c>
      <c r="L31" s="167">
        <v>104</v>
      </c>
    </row>
    <row r="32" spans="3:12" ht="12.75">
      <c r="C32" s="164" t="s">
        <v>147</v>
      </c>
      <c r="D32" s="165">
        <v>1</v>
      </c>
      <c r="E32" s="165">
        <v>1</v>
      </c>
      <c r="F32" s="165">
        <v>0</v>
      </c>
      <c r="G32" s="165">
        <v>1</v>
      </c>
      <c r="H32" s="166">
        <f>G32/E32*100</f>
        <v>100</v>
      </c>
      <c r="I32" s="165">
        <v>1</v>
      </c>
      <c r="J32" s="165" t="s">
        <v>64</v>
      </c>
      <c r="K32" s="165" t="s">
        <v>125</v>
      </c>
      <c r="L32" s="167" t="s">
        <v>136</v>
      </c>
    </row>
    <row r="33" spans="3:12" ht="12.75">
      <c r="C33" s="170" t="s">
        <v>148</v>
      </c>
      <c r="D33" s="171">
        <f>SUM(D16:D32)</f>
        <v>135</v>
      </c>
      <c r="E33" s="171">
        <f>SUM(E16:E32)</f>
        <v>144</v>
      </c>
      <c r="F33" s="171">
        <f>SUM(F16:F32)</f>
        <v>25</v>
      </c>
      <c r="G33" s="171">
        <f>SUM(G16:G32)</f>
        <v>119</v>
      </c>
      <c r="H33" s="172">
        <f t="shared" si="1"/>
        <v>82.63888888888889</v>
      </c>
      <c r="I33" s="171">
        <f>SUM(I16:I32)</f>
        <v>36</v>
      </c>
      <c r="J33" s="171">
        <f>SUM(J16:J32)</f>
        <v>0</v>
      </c>
      <c r="K33" s="171">
        <f>SUM(K16:K32)</f>
        <v>83</v>
      </c>
      <c r="L33" s="173" t="s">
        <v>116</v>
      </c>
    </row>
    <row r="34" spans="3:12" ht="12.75">
      <c r="C34" s="170"/>
      <c r="D34" s="146"/>
      <c r="E34" s="146"/>
      <c r="F34" s="146"/>
      <c r="G34" s="146"/>
      <c r="H34" s="174"/>
      <c r="I34" s="146"/>
      <c r="J34" s="146"/>
      <c r="K34" s="146"/>
      <c r="L34" s="173" t="s">
        <v>116</v>
      </c>
    </row>
    <row r="35" spans="3:12" s="180" customFormat="1" ht="16.5" thickBot="1">
      <c r="C35" s="175" t="s">
        <v>149</v>
      </c>
      <c r="D35" s="176">
        <f>D13+D33</f>
        <v>432</v>
      </c>
      <c r="E35" s="176">
        <f>E13+E33</f>
        <v>458</v>
      </c>
      <c r="F35" s="176">
        <f>F13+F33</f>
        <v>144</v>
      </c>
      <c r="G35" s="176">
        <f>G13+G33</f>
        <v>314</v>
      </c>
      <c r="H35" s="177">
        <f>G35/E35*100</f>
        <v>68.5589519650655</v>
      </c>
      <c r="I35" s="176">
        <f>I13+I33</f>
        <v>174</v>
      </c>
      <c r="J35" s="178">
        <f>J13+J33</f>
        <v>30</v>
      </c>
      <c r="K35" s="178">
        <f>K13+K33</f>
        <v>110</v>
      </c>
      <c r="L35" s="179" t="s">
        <v>116</v>
      </c>
    </row>
    <row r="36" ht="12.75">
      <c r="H36" s="181"/>
    </row>
    <row r="37" spans="3:8" ht="12.75">
      <c r="C37" s="182" t="s">
        <v>155</v>
      </c>
      <c r="H37" s="181"/>
    </row>
    <row r="38" spans="3:8" ht="12.75">
      <c r="C38" s="183" t="s">
        <v>150</v>
      </c>
      <c r="H38" s="181"/>
    </row>
    <row r="39" spans="3:8" ht="12.75">
      <c r="C39" s="139" t="s">
        <v>151</v>
      </c>
      <c r="H39" s="181"/>
    </row>
    <row r="40" spans="3:8" ht="12.75">
      <c r="C40" s="183" t="s">
        <v>152</v>
      </c>
      <c r="H40" s="181"/>
    </row>
    <row r="41" ht="12.75">
      <c r="C41" s="139" t="s">
        <v>153</v>
      </c>
    </row>
  </sheetData>
  <mergeCells count="10">
    <mergeCell ref="C14:L14"/>
    <mergeCell ref="L4:L6"/>
    <mergeCell ref="G5:G6"/>
    <mergeCell ref="H5:H6"/>
    <mergeCell ref="G4:K4"/>
    <mergeCell ref="I5:K5"/>
    <mergeCell ref="C4:C6"/>
    <mergeCell ref="D4:D6"/>
    <mergeCell ref="E4:E6"/>
    <mergeCell ref="F4:F6"/>
  </mergeCells>
  <printOptions horizontalCentered="1" verticalCentered="1"/>
  <pageMargins left="0" right="0" top="0" bottom="0" header="0" footer="0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1"/>
  <dimension ref="B1:M33"/>
  <sheetViews>
    <sheetView zoomScale="75" zoomScaleNormal="75" workbookViewId="0" topLeftCell="A1">
      <selection activeCell="H5" sqref="H5"/>
    </sheetView>
  </sheetViews>
  <sheetFormatPr defaultColWidth="9.140625" defaultRowHeight="12.75"/>
  <cols>
    <col min="2" max="2" width="23.57421875" style="0" customWidth="1"/>
    <col min="3" max="3" width="9.7109375" style="0" customWidth="1"/>
    <col min="4" max="4" width="8.7109375" style="0" customWidth="1"/>
    <col min="5" max="5" width="9.7109375" style="0" customWidth="1"/>
    <col min="6" max="6" width="11.7109375" style="0" customWidth="1"/>
    <col min="7" max="7" width="11.140625" style="0" customWidth="1"/>
    <col min="8" max="8" width="12.421875" style="0" customWidth="1"/>
    <col min="9" max="9" width="9.8515625" style="0" customWidth="1"/>
    <col min="10" max="10" width="11.57421875" style="0" customWidth="1"/>
    <col min="11" max="11" width="15.00390625" style="0" customWidth="1"/>
  </cols>
  <sheetData>
    <row r="1" spans="2:10" ht="23.25" customHeight="1">
      <c r="B1" s="89"/>
      <c r="C1" s="184" t="s">
        <v>156</v>
      </c>
      <c r="E1" s="89"/>
      <c r="G1" s="89"/>
      <c r="H1" s="89"/>
      <c r="I1" s="89"/>
      <c r="J1" s="89"/>
    </row>
    <row r="2" spans="2:12" ht="24.75" customHeight="1" thickBot="1">
      <c r="B2" s="91" t="s">
        <v>157</v>
      </c>
      <c r="C2" s="89"/>
      <c r="D2" s="89"/>
      <c r="E2" s="89"/>
      <c r="F2" s="89"/>
      <c r="G2" s="89"/>
      <c r="H2" s="89"/>
      <c r="I2" s="89"/>
      <c r="J2" s="89"/>
      <c r="L2" t="s">
        <v>158</v>
      </c>
    </row>
    <row r="3" spans="2:11" ht="30" customHeight="1" thickBot="1" thickTop="1">
      <c r="B3" s="185" t="s">
        <v>159</v>
      </c>
      <c r="C3" s="186" t="s">
        <v>160</v>
      </c>
      <c r="D3" s="187" t="s">
        <v>161</v>
      </c>
      <c r="E3" s="188"/>
      <c r="F3" s="186" t="s">
        <v>162</v>
      </c>
      <c r="G3" s="187" t="s">
        <v>163</v>
      </c>
      <c r="H3" s="188"/>
      <c r="I3" s="189" t="s">
        <v>164</v>
      </c>
      <c r="J3" s="190" t="s">
        <v>165</v>
      </c>
      <c r="K3" s="191" t="s">
        <v>166</v>
      </c>
    </row>
    <row r="4" spans="2:11" ht="30" customHeight="1" thickBot="1">
      <c r="B4" s="40" t="s">
        <v>167</v>
      </c>
      <c r="C4" s="192" t="s">
        <v>168</v>
      </c>
      <c r="D4" s="193" t="s">
        <v>169</v>
      </c>
      <c r="E4" s="194" t="s">
        <v>170</v>
      </c>
      <c r="F4" s="192" t="s">
        <v>168</v>
      </c>
      <c r="G4" s="195" t="s">
        <v>171</v>
      </c>
      <c r="H4" s="196" t="s">
        <v>172</v>
      </c>
      <c r="I4" s="197"/>
      <c r="J4" s="198" t="s">
        <v>173</v>
      </c>
      <c r="K4" s="199" t="s">
        <v>174</v>
      </c>
    </row>
    <row r="5" spans="2:11" ht="24.75" customHeight="1" thickTop="1">
      <c r="B5" s="200" t="s">
        <v>8</v>
      </c>
      <c r="C5" s="201">
        <v>1410</v>
      </c>
      <c r="D5" s="201">
        <v>1291</v>
      </c>
      <c r="E5" s="202">
        <f aca="true" t="shared" si="0" ref="E5:E13">C5-D5</f>
        <v>119</v>
      </c>
      <c r="F5" s="201">
        <v>843</v>
      </c>
      <c r="G5" s="201">
        <v>371</v>
      </c>
      <c r="H5" s="203">
        <f aca="true" t="shared" si="1" ref="H5:H12">F5-G5</f>
        <v>472</v>
      </c>
      <c r="I5" s="201">
        <v>517</v>
      </c>
      <c r="J5" s="201">
        <v>10</v>
      </c>
      <c r="K5" s="204">
        <v>19</v>
      </c>
    </row>
    <row r="6" spans="2:11" ht="24.75" customHeight="1">
      <c r="B6" s="105" t="s">
        <v>9</v>
      </c>
      <c r="C6" s="205">
        <v>562</v>
      </c>
      <c r="D6" s="205">
        <v>470</v>
      </c>
      <c r="E6" s="206">
        <f t="shared" si="0"/>
        <v>92</v>
      </c>
      <c r="F6" s="205">
        <v>395</v>
      </c>
      <c r="G6" s="205">
        <v>218</v>
      </c>
      <c r="H6" s="203">
        <f t="shared" si="1"/>
        <v>177</v>
      </c>
      <c r="I6" s="205">
        <v>72</v>
      </c>
      <c r="J6" s="205">
        <v>16</v>
      </c>
      <c r="K6" s="207">
        <v>45</v>
      </c>
    </row>
    <row r="7" spans="2:11" ht="24.75" customHeight="1">
      <c r="B7" s="105" t="s">
        <v>10</v>
      </c>
      <c r="C7" s="205">
        <v>908</v>
      </c>
      <c r="D7" s="205">
        <v>814</v>
      </c>
      <c r="E7" s="206">
        <f t="shared" si="0"/>
        <v>94</v>
      </c>
      <c r="F7" s="205">
        <v>403</v>
      </c>
      <c r="G7" s="205">
        <v>247</v>
      </c>
      <c r="H7" s="203">
        <f t="shared" si="1"/>
        <v>156</v>
      </c>
      <c r="I7" s="205">
        <v>52</v>
      </c>
      <c r="J7" s="205">
        <v>47</v>
      </c>
      <c r="K7" s="207">
        <v>350</v>
      </c>
    </row>
    <row r="8" spans="2:11" ht="24.75" customHeight="1">
      <c r="B8" s="105" t="s">
        <v>11</v>
      </c>
      <c r="C8" s="205">
        <v>917</v>
      </c>
      <c r="D8" s="205">
        <v>829</v>
      </c>
      <c r="E8" s="206">
        <f t="shared" si="0"/>
        <v>88</v>
      </c>
      <c r="F8" s="205">
        <v>546</v>
      </c>
      <c r="G8" s="205">
        <v>273</v>
      </c>
      <c r="H8" s="203">
        <f t="shared" si="1"/>
        <v>273</v>
      </c>
      <c r="I8" s="205">
        <v>228</v>
      </c>
      <c r="J8" s="205">
        <v>53</v>
      </c>
      <c r="K8" s="207">
        <v>58</v>
      </c>
    </row>
    <row r="9" spans="2:11" ht="24.75" customHeight="1">
      <c r="B9" s="105" t="s">
        <v>12</v>
      </c>
      <c r="C9" s="205">
        <v>608</v>
      </c>
      <c r="D9" s="205">
        <v>575</v>
      </c>
      <c r="E9" s="206">
        <f t="shared" si="0"/>
        <v>33</v>
      </c>
      <c r="F9" s="205">
        <v>466</v>
      </c>
      <c r="G9" s="205">
        <v>337</v>
      </c>
      <c r="H9" s="203">
        <f t="shared" si="1"/>
        <v>129</v>
      </c>
      <c r="I9" s="205">
        <v>23</v>
      </c>
      <c r="J9" s="205">
        <v>41</v>
      </c>
      <c r="K9" s="207">
        <v>42</v>
      </c>
    </row>
    <row r="10" spans="2:11" ht="24.75" customHeight="1">
      <c r="B10" s="105" t="s">
        <v>13</v>
      </c>
      <c r="C10" s="205">
        <v>935</v>
      </c>
      <c r="D10" s="205">
        <v>840</v>
      </c>
      <c r="E10" s="206">
        <f t="shared" si="0"/>
        <v>95</v>
      </c>
      <c r="F10" s="205">
        <v>473</v>
      </c>
      <c r="G10" s="205">
        <v>308</v>
      </c>
      <c r="H10" s="203">
        <f t="shared" si="1"/>
        <v>165</v>
      </c>
      <c r="I10" s="205">
        <v>28</v>
      </c>
      <c r="J10" s="205">
        <v>18</v>
      </c>
      <c r="K10" s="207">
        <v>136</v>
      </c>
    </row>
    <row r="11" spans="2:11" ht="24.75" customHeight="1">
      <c r="B11" s="105" t="s">
        <v>14</v>
      </c>
      <c r="C11" s="205">
        <v>929</v>
      </c>
      <c r="D11" s="205">
        <v>814</v>
      </c>
      <c r="E11" s="206">
        <f t="shared" si="0"/>
        <v>115</v>
      </c>
      <c r="F11" s="205">
        <v>608</v>
      </c>
      <c r="G11" s="205">
        <v>374</v>
      </c>
      <c r="H11" s="203">
        <f t="shared" si="1"/>
        <v>234</v>
      </c>
      <c r="I11" s="205">
        <v>86</v>
      </c>
      <c r="J11" s="205">
        <v>77</v>
      </c>
      <c r="K11" s="207">
        <v>78</v>
      </c>
    </row>
    <row r="12" spans="2:11" ht="24.75" customHeight="1">
      <c r="B12" s="208" t="s">
        <v>15</v>
      </c>
      <c r="C12" s="209">
        <v>1123</v>
      </c>
      <c r="D12" s="209">
        <v>919</v>
      </c>
      <c r="E12" s="206">
        <f t="shared" si="0"/>
        <v>204</v>
      </c>
      <c r="F12" s="209">
        <v>792</v>
      </c>
      <c r="G12" s="209">
        <v>358</v>
      </c>
      <c r="H12" s="203">
        <f t="shared" si="1"/>
        <v>434</v>
      </c>
      <c r="I12" s="209">
        <v>71</v>
      </c>
      <c r="J12" s="209">
        <v>42</v>
      </c>
      <c r="K12" s="210">
        <v>155</v>
      </c>
    </row>
    <row r="13" spans="2:11" ht="24.75" customHeight="1" thickBot="1">
      <c r="B13" s="211" t="s">
        <v>175</v>
      </c>
      <c r="C13" s="212">
        <f>102+76</f>
        <v>178</v>
      </c>
      <c r="D13" s="212">
        <v>174</v>
      </c>
      <c r="E13" s="213">
        <f t="shared" si="0"/>
        <v>4</v>
      </c>
      <c r="F13" s="214">
        <v>71</v>
      </c>
      <c r="G13" s="212">
        <v>1</v>
      </c>
      <c r="H13" s="213">
        <f>F13-G13</f>
        <v>70</v>
      </c>
      <c r="I13" s="212">
        <v>7</v>
      </c>
      <c r="J13" s="212">
        <v>102</v>
      </c>
      <c r="K13" s="215">
        <v>0</v>
      </c>
    </row>
    <row r="14" spans="2:13" ht="30" customHeight="1" thickBot="1">
      <c r="B14" s="216" t="s">
        <v>176</v>
      </c>
      <c r="C14" s="217">
        <f aca="true" t="shared" si="2" ref="C14:K14">SUM(C5:C13)</f>
        <v>7570</v>
      </c>
      <c r="D14" s="217">
        <f t="shared" si="2"/>
        <v>6726</v>
      </c>
      <c r="E14" s="218">
        <f t="shared" si="2"/>
        <v>844</v>
      </c>
      <c r="F14" s="219">
        <f t="shared" si="2"/>
        <v>4597</v>
      </c>
      <c r="G14" s="220">
        <f t="shared" si="2"/>
        <v>2487</v>
      </c>
      <c r="H14" s="221">
        <f t="shared" si="2"/>
        <v>2110</v>
      </c>
      <c r="I14" s="222">
        <f t="shared" si="2"/>
        <v>1084</v>
      </c>
      <c r="J14" s="222">
        <f t="shared" si="2"/>
        <v>406</v>
      </c>
      <c r="K14" s="223">
        <f t="shared" si="2"/>
        <v>883</v>
      </c>
      <c r="M14" s="224"/>
    </row>
    <row r="15" spans="2:11" ht="30" customHeight="1" thickBot="1">
      <c r="B15" s="225" t="s">
        <v>177</v>
      </c>
      <c r="C15" s="226">
        <v>7300</v>
      </c>
      <c r="D15" s="226">
        <v>6492</v>
      </c>
      <c r="E15" s="203">
        <v>808</v>
      </c>
      <c r="F15" s="227">
        <v>4144</v>
      </c>
      <c r="G15" s="226">
        <v>2153</v>
      </c>
      <c r="H15" s="228">
        <v>1991</v>
      </c>
      <c r="I15" s="229">
        <v>1028</v>
      </c>
      <c r="J15" s="205">
        <v>467</v>
      </c>
      <c r="K15" s="230">
        <v>1081</v>
      </c>
    </row>
    <row r="16" spans="2:13" ht="30" customHeight="1" thickBot="1" thickTop="1">
      <c r="B16" s="231" t="s">
        <v>178</v>
      </c>
      <c r="C16" s="232">
        <f aca="true" t="shared" si="3" ref="C16:K16">C14/C15*100</f>
        <v>103.69863013698631</v>
      </c>
      <c r="D16" s="232">
        <f t="shared" si="3"/>
        <v>103.60443622920516</v>
      </c>
      <c r="E16" s="233">
        <f t="shared" si="3"/>
        <v>104.45544554455446</v>
      </c>
      <c r="F16" s="234">
        <f t="shared" si="3"/>
        <v>110.93146718146718</v>
      </c>
      <c r="G16" s="232">
        <f t="shared" si="3"/>
        <v>115.513237343242</v>
      </c>
      <c r="H16" s="233">
        <f t="shared" si="3"/>
        <v>105.97689603214464</v>
      </c>
      <c r="I16" s="232">
        <f t="shared" si="3"/>
        <v>105.44747081712063</v>
      </c>
      <c r="J16" s="232">
        <f t="shared" si="3"/>
        <v>86.93790149892934</v>
      </c>
      <c r="K16" s="235">
        <f t="shared" si="3"/>
        <v>81.6836262719704</v>
      </c>
      <c r="M16" s="236"/>
    </row>
    <row r="17" spans="2:10" ht="24.75" customHeight="1" thickTop="1">
      <c r="B17" s="1"/>
      <c r="C17" s="89"/>
      <c r="D17" s="89"/>
      <c r="E17" s="89"/>
      <c r="F17" s="89"/>
      <c r="G17" s="89"/>
      <c r="H17" s="89"/>
      <c r="I17" s="89"/>
      <c r="J17" s="89"/>
    </row>
    <row r="18" spans="2:10" ht="24.75" customHeight="1">
      <c r="B18" s="237" t="s">
        <v>179</v>
      </c>
      <c r="G18" s="89"/>
      <c r="H18" s="89"/>
      <c r="I18" s="89"/>
      <c r="J18" s="89"/>
    </row>
    <row r="19" spans="2:10" ht="24.75" customHeight="1">
      <c r="B19" s="89"/>
      <c r="C19" s="89"/>
      <c r="D19" s="89"/>
      <c r="E19" s="89"/>
      <c r="F19" s="89"/>
      <c r="G19" s="89"/>
      <c r="H19" s="89"/>
      <c r="I19" s="89"/>
      <c r="J19" s="89"/>
    </row>
    <row r="20" spans="2:10" ht="24.75" customHeight="1" thickBot="1">
      <c r="B20" s="91" t="s">
        <v>180</v>
      </c>
      <c r="C20" s="89"/>
      <c r="D20" s="89"/>
      <c r="E20" s="89"/>
      <c r="F20" s="89"/>
      <c r="G20" s="89"/>
      <c r="H20" s="89"/>
      <c r="I20" s="89"/>
      <c r="J20" s="89"/>
    </row>
    <row r="21" spans="2:11" ht="30" customHeight="1" thickBot="1" thickTop="1">
      <c r="B21" s="185" t="s">
        <v>159</v>
      </c>
      <c r="C21" s="186" t="s">
        <v>160</v>
      </c>
      <c r="D21" s="187" t="s">
        <v>161</v>
      </c>
      <c r="E21" s="188"/>
      <c r="F21" s="186" t="s">
        <v>162</v>
      </c>
      <c r="G21" s="187" t="s">
        <v>181</v>
      </c>
      <c r="H21" s="188"/>
      <c r="I21" s="238" t="s">
        <v>164</v>
      </c>
      <c r="J21" s="190" t="s">
        <v>165</v>
      </c>
      <c r="K21" s="239" t="s">
        <v>166</v>
      </c>
    </row>
    <row r="22" spans="2:11" ht="30" customHeight="1" thickBot="1">
      <c r="B22" s="40" t="s">
        <v>167</v>
      </c>
      <c r="C22" s="192" t="s">
        <v>168</v>
      </c>
      <c r="D22" s="193" t="s">
        <v>169</v>
      </c>
      <c r="E22" s="240" t="s">
        <v>170</v>
      </c>
      <c r="F22" s="192" t="s">
        <v>168</v>
      </c>
      <c r="G22" s="195" t="s">
        <v>171</v>
      </c>
      <c r="H22" s="196" t="s">
        <v>172</v>
      </c>
      <c r="I22" s="197"/>
      <c r="J22" s="241" t="s">
        <v>173</v>
      </c>
      <c r="K22" s="242" t="s">
        <v>182</v>
      </c>
    </row>
    <row r="23" spans="2:11" ht="24.75" customHeight="1" thickTop="1">
      <c r="B23" s="200" t="s">
        <v>8</v>
      </c>
      <c r="C23" s="201">
        <v>399</v>
      </c>
      <c r="D23" s="201">
        <v>392</v>
      </c>
      <c r="E23" s="243">
        <f aca="true" t="shared" si="4" ref="E23:E30">C23-D23</f>
        <v>7</v>
      </c>
      <c r="F23" s="201">
        <v>170</v>
      </c>
      <c r="G23" s="201">
        <v>64</v>
      </c>
      <c r="H23" s="244">
        <f aca="true" t="shared" si="5" ref="H23:H30">F23-G23</f>
        <v>106</v>
      </c>
      <c r="I23" s="245">
        <v>211</v>
      </c>
      <c r="J23" s="201">
        <v>4</v>
      </c>
      <c r="K23" s="246">
        <v>7</v>
      </c>
    </row>
    <row r="24" spans="2:11" ht="24.75" customHeight="1">
      <c r="B24" s="105" t="s">
        <v>9</v>
      </c>
      <c r="C24" s="205">
        <v>124</v>
      </c>
      <c r="D24" s="205">
        <v>117</v>
      </c>
      <c r="E24" s="203">
        <f t="shared" si="4"/>
        <v>7</v>
      </c>
      <c r="F24" s="205">
        <v>67</v>
      </c>
      <c r="G24" s="205">
        <v>31</v>
      </c>
      <c r="H24" s="244">
        <f t="shared" si="5"/>
        <v>36</v>
      </c>
      <c r="I24" s="229">
        <v>31</v>
      </c>
      <c r="J24" s="205">
        <v>4</v>
      </c>
      <c r="K24" s="230">
        <v>12</v>
      </c>
    </row>
    <row r="25" spans="2:11" ht="24.75" customHeight="1">
      <c r="B25" s="105" t="s">
        <v>10</v>
      </c>
      <c r="C25" s="205">
        <v>127</v>
      </c>
      <c r="D25" s="205">
        <v>121</v>
      </c>
      <c r="E25" s="203">
        <f t="shared" si="4"/>
        <v>6</v>
      </c>
      <c r="F25" s="205">
        <v>45</v>
      </c>
      <c r="G25" s="205">
        <v>25</v>
      </c>
      <c r="H25" s="244">
        <f t="shared" si="5"/>
        <v>20</v>
      </c>
      <c r="I25" s="229">
        <v>6</v>
      </c>
      <c r="J25" s="205">
        <v>11</v>
      </c>
      <c r="K25" s="230">
        <v>53</v>
      </c>
    </row>
    <row r="26" spans="2:11" ht="24.75" customHeight="1">
      <c r="B26" s="105" t="s">
        <v>11</v>
      </c>
      <c r="C26" s="205">
        <v>175</v>
      </c>
      <c r="D26" s="205">
        <v>163</v>
      </c>
      <c r="E26" s="203">
        <f t="shared" si="4"/>
        <v>12</v>
      </c>
      <c r="F26" s="205">
        <v>79</v>
      </c>
      <c r="G26" s="205">
        <v>26</v>
      </c>
      <c r="H26" s="244">
        <f t="shared" si="5"/>
        <v>53</v>
      </c>
      <c r="I26" s="229">
        <v>60</v>
      </c>
      <c r="J26" s="205">
        <v>19</v>
      </c>
      <c r="K26" s="230">
        <v>15</v>
      </c>
    </row>
    <row r="27" spans="2:11" ht="24.75" customHeight="1">
      <c r="B27" s="105" t="s">
        <v>12</v>
      </c>
      <c r="C27" s="205">
        <v>78</v>
      </c>
      <c r="D27" s="205">
        <v>73</v>
      </c>
      <c r="E27" s="203">
        <f t="shared" si="4"/>
        <v>5</v>
      </c>
      <c r="F27" s="205">
        <v>56</v>
      </c>
      <c r="G27" s="205">
        <v>36</v>
      </c>
      <c r="H27" s="244">
        <f t="shared" si="5"/>
        <v>20</v>
      </c>
      <c r="I27" s="229">
        <v>4</v>
      </c>
      <c r="J27" s="205">
        <v>7</v>
      </c>
      <c r="K27" s="230">
        <v>8</v>
      </c>
    </row>
    <row r="28" spans="2:11" ht="24.75" customHeight="1">
      <c r="B28" s="105" t="s">
        <v>13</v>
      </c>
      <c r="C28" s="205">
        <v>181</v>
      </c>
      <c r="D28" s="205">
        <v>175</v>
      </c>
      <c r="E28" s="203">
        <f t="shared" si="4"/>
        <v>6</v>
      </c>
      <c r="F28" s="205">
        <v>63</v>
      </c>
      <c r="G28" s="205">
        <v>35</v>
      </c>
      <c r="H28" s="244">
        <f t="shared" si="5"/>
        <v>28</v>
      </c>
      <c r="I28" s="229">
        <v>11</v>
      </c>
      <c r="J28" s="205">
        <v>2</v>
      </c>
      <c r="K28" s="230">
        <v>43</v>
      </c>
    </row>
    <row r="29" spans="2:11" ht="24.75" customHeight="1">
      <c r="B29" s="105" t="s">
        <v>14</v>
      </c>
      <c r="C29" s="205">
        <v>116</v>
      </c>
      <c r="D29" s="205">
        <v>110</v>
      </c>
      <c r="E29" s="203">
        <f t="shared" si="4"/>
        <v>6</v>
      </c>
      <c r="F29" s="205">
        <v>64</v>
      </c>
      <c r="G29" s="205">
        <v>30</v>
      </c>
      <c r="H29" s="244">
        <f t="shared" si="5"/>
        <v>34</v>
      </c>
      <c r="I29" s="229">
        <v>14</v>
      </c>
      <c r="J29" s="205">
        <v>16</v>
      </c>
      <c r="K29" s="230">
        <v>11</v>
      </c>
    </row>
    <row r="30" spans="2:11" ht="24.75" customHeight="1" thickBot="1">
      <c r="B30" s="211" t="s">
        <v>15</v>
      </c>
      <c r="C30" s="212">
        <v>219</v>
      </c>
      <c r="D30" s="212">
        <v>207</v>
      </c>
      <c r="E30" s="247">
        <f t="shared" si="4"/>
        <v>12</v>
      </c>
      <c r="F30" s="212">
        <v>102</v>
      </c>
      <c r="G30" s="212">
        <v>40</v>
      </c>
      <c r="H30" s="247">
        <f t="shared" si="5"/>
        <v>62</v>
      </c>
      <c r="I30" s="248">
        <v>20</v>
      </c>
      <c r="J30" s="212">
        <v>19</v>
      </c>
      <c r="K30" s="249">
        <v>59</v>
      </c>
    </row>
    <row r="31" spans="2:11" ht="30" customHeight="1" thickBot="1">
      <c r="B31" s="216" t="s">
        <v>176</v>
      </c>
      <c r="C31" s="222">
        <f aca="true" t="shared" si="6" ref="C31:K31">SUM(C23:C30)</f>
        <v>1419</v>
      </c>
      <c r="D31" s="222">
        <f t="shared" si="6"/>
        <v>1358</v>
      </c>
      <c r="E31" s="250">
        <f t="shared" si="6"/>
        <v>61</v>
      </c>
      <c r="F31" s="222">
        <f t="shared" si="6"/>
        <v>646</v>
      </c>
      <c r="G31" s="222">
        <f t="shared" si="6"/>
        <v>287</v>
      </c>
      <c r="H31" s="250">
        <f t="shared" si="6"/>
        <v>359</v>
      </c>
      <c r="I31" s="222">
        <f t="shared" si="6"/>
        <v>357</v>
      </c>
      <c r="J31" s="222">
        <f t="shared" si="6"/>
        <v>82</v>
      </c>
      <c r="K31" s="223">
        <f t="shared" si="6"/>
        <v>208</v>
      </c>
    </row>
    <row r="32" spans="2:11" ht="30" customHeight="1" thickBot="1">
      <c r="B32" s="225" t="s">
        <v>177</v>
      </c>
      <c r="C32" s="205">
        <v>1426</v>
      </c>
      <c r="D32" s="205">
        <v>1379</v>
      </c>
      <c r="E32" s="203">
        <v>47</v>
      </c>
      <c r="F32" s="205">
        <v>622</v>
      </c>
      <c r="G32" s="205">
        <v>270</v>
      </c>
      <c r="H32" s="203">
        <v>352</v>
      </c>
      <c r="I32" s="229">
        <v>282</v>
      </c>
      <c r="J32" s="205">
        <v>96</v>
      </c>
      <c r="K32" s="230">
        <v>295</v>
      </c>
    </row>
    <row r="33" spans="2:11" ht="30" customHeight="1" thickBot="1" thickTop="1">
      <c r="B33" s="231" t="s">
        <v>178</v>
      </c>
      <c r="C33" s="232">
        <f aca="true" t="shared" si="7" ref="C33:K33">C31/C32*100</f>
        <v>99.50911640953717</v>
      </c>
      <c r="D33" s="232">
        <f t="shared" si="7"/>
        <v>98.47715736040608</v>
      </c>
      <c r="E33" s="233">
        <f t="shared" si="7"/>
        <v>129.7872340425532</v>
      </c>
      <c r="F33" s="232">
        <f t="shared" si="7"/>
        <v>103.85852090032155</v>
      </c>
      <c r="G33" s="232">
        <f t="shared" si="7"/>
        <v>106.29629629629629</v>
      </c>
      <c r="H33" s="233">
        <f t="shared" si="7"/>
        <v>101.98863636363636</v>
      </c>
      <c r="I33" s="232">
        <f t="shared" si="7"/>
        <v>126.59574468085107</v>
      </c>
      <c r="J33" s="232">
        <f t="shared" si="7"/>
        <v>85.41666666666666</v>
      </c>
      <c r="K33" s="235">
        <f t="shared" si="7"/>
        <v>70.50847457627118</v>
      </c>
    </row>
    <row r="34" ht="13.5" thickTop="1"/>
  </sheetData>
  <printOptions horizontalCentered="1"/>
  <pageMargins left="0.393700787401574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8"/>
  <sheetViews>
    <sheetView zoomScale="80" zoomScaleNormal="80" workbookViewId="0" topLeftCell="A1">
      <selection activeCell="C26" sqref="C26"/>
    </sheetView>
  </sheetViews>
  <sheetFormatPr defaultColWidth="9.140625" defaultRowHeight="12.75"/>
  <cols>
    <col min="1" max="1" width="1.421875" style="0" customWidth="1"/>
    <col min="2" max="2" width="39.421875" style="0" customWidth="1"/>
    <col min="3" max="3" width="8.28125" style="0" customWidth="1"/>
    <col min="4" max="4" width="10.00390625" style="0" customWidth="1"/>
    <col min="5" max="5" width="7.8515625" style="0" customWidth="1"/>
    <col min="6" max="6" width="9.28125" style="0" customWidth="1"/>
    <col min="8" max="8" width="9.57421875" style="0" bestFit="1" customWidth="1"/>
    <col min="10" max="12" width="9.57421875" style="0" bestFit="1" customWidth="1"/>
  </cols>
  <sheetData>
    <row r="2" ht="15">
      <c r="B2" s="89"/>
    </row>
    <row r="3" ht="15">
      <c r="B3" s="89" t="s">
        <v>183</v>
      </c>
    </row>
    <row r="4" spans="2:12" ht="20.25">
      <c r="B4" s="495" t="s">
        <v>184</v>
      </c>
      <c r="C4" s="496"/>
      <c r="D4" s="496"/>
      <c r="E4" s="496"/>
      <c r="F4" s="496"/>
      <c r="G4" s="496"/>
      <c r="H4" s="496"/>
      <c r="I4" s="496"/>
      <c r="J4" s="496"/>
      <c r="K4" s="497"/>
      <c r="L4" s="497"/>
    </row>
    <row r="5" ht="15">
      <c r="B5" s="89"/>
    </row>
    <row r="6" ht="21.75" customHeight="1" thickBot="1">
      <c r="B6" s="91" t="s">
        <v>185</v>
      </c>
    </row>
    <row r="7" spans="2:12" ht="25.5" customHeight="1" thickBot="1">
      <c r="B7" s="251" t="s">
        <v>21</v>
      </c>
      <c r="C7" s="498" t="s">
        <v>186</v>
      </c>
      <c r="D7" s="494"/>
      <c r="E7" s="498" t="s">
        <v>187</v>
      </c>
      <c r="F7" s="494"/>
      <c r="G7" s="493" t="s">
        <v>188</v>
      </c>
      <c r="H7" s="494"/>
      <c r="I7" s="493" t="s">
        <v>189</v>
      </c>
      <c r="J7" s="494"/>
      <c r="K7" s="493" t="s">
        <v>190</v>
      </c>
      <c r="L7" s="494"/>
    </row>
    <row r="8" spans="2:12" ht="42.75" customHeight="1" thickBot="1">
      <c r="B8" s="252" t="s">
        <v>191</v>
      </c>
      <c r="C8" s="253" t="s">
        <v>192</v>
      </c>
      <c r="D8" s="253" t="s">
        <v>193</v>
      </c>
      <c r="E8" s="253" t="s">
        <v>192</v>
      </c>
      <c r="F8" s="253" t="s">
        <v>193</v>
      </c>
      <c r="G8" s="253" t="s">
        <v>192</v>
      </c>
      <c r="H8" s="253" t="s">
        <v>193</v>
      </c>
      <c r="I8" s="253" t="s">
        <v>192</v>
      </c>
      <c r="J8" s="253" t="s">
        <v>193</v>
      </c>
      <c r="K8" s="253" t="s">
        <v>192</v>
      </c>
      <c r="L8" s="253" t="s">
        <v>193</v>
      </c>
    </row>
    <row r="9" spans="2:12" ht="15.75">
      <c r="B9" s="254" t="s">
        <v>194</v>
      </c>
      <c r="C9" s="255">
        <v>0</v>
      </c>
      <c r="D9" s="256">
        <v>0</v>
      </c>
      <c r="E9" s="255">
        <v>0</v>
      </c>
      <c r="F9" s="256">
        <v>0</v>
      </c>
      <c r="G9" s="255">
        <v>0</v>
      </c>
      <c r="H9" s="256">
        <v>0</v>
      </c>
      <c r="I9" s="255">
        <v>0</v>
      </c>
      <c r="J9" s="256">
        <v>0</v>
      </c>
      <c r="K9" s="255">
        <v>0</v>
      </c>
      <c r="L9" s="256">
        <v>0</v>
      </c>
    </row>
    <row r="10" spans="2:12" ht="15.75">
      <c r="B10" s="257" t="s">
        <v>195</v>
      </c>
      <c r="C10" s="258">
        <v>3669</v>
      </c>
      <c r="D10" s="259">
        <v>28496</v>
      </c>
      <c r="E10" s="258">
        <v>2939</v>
      </c>
      <c r="F10" s="259">
        <v>23610</v>
      </c>
      <c r="G10" s="258">
        <v>2819</v>
      </c>
      <c r="H10" s="259">
        <v>21687</v>
      </c>
      <c r="I10" s="258">
        <v>2504</v>
      </c>
      <c r="J10" s="259">
        <v>24790</v>
      </c>
      <c r="K10" s="258">
        <v>2421</v>
      </c>
      <c r="L10" s="259">
        <v>23595</v>
      </c>
    </row>
    <row r="11" spans="2:12" ht="15.75">
      <c r="B11" s="257" t="s">
        <v>196</v>
      </c>
      <c r="C11" s="258">
        <v>27</v>
      </c>
      <c r="D11" s="259">
        <v>1175</v>
      </c>
      <c r="E11" s="258">
        <v>24</v>
      </c>
      <c r="F11" s="259">
        <v>1070</v>
      </c>
      <c r="G11" s="258">
        <v>23</v>
      </c>
      <c r="H11" s="259">
        <v>975</v>
      </c>
      <c r="I11" s="258">
        <v>52</v>
      </c>
      <c r="J11" s="259">
        <v>1717</v>
      </c>
      <c r="K11" s="258">
        <v>42</v>
      </c>
      <c r="L11" s="259">
        <v>1360</v>
      </c>
    </row>
    <row r="12" spans="2:12" ht="16.5" thickBot="1">
      <c r="B12" s="257" t="s">
        <v>197</v>
      </c>
      <c r="C12" s="260">
        <v>2212</v>
      </c>
      <c r="D12" s="261">
        <v>45795</v>
      </c>
      <c r="E12" s="260">
        <v>2503</v>
      </c>
      <c r="F12" s="261">
        <v>96123</v>
      </c>
      <c r="G12" s="260">
        <v>2590</v>
      </c>
      <c r="H12" s="261">
        <v>47060</v>
      </c>
      <c r="I12" s="260">
        <v>2744</v>
      </c>
      <c r="J12" s="261">
        <v>69474</v>
      </c>
      <c r="K12" s="260">
        <v>2707</v>
      </c>
      <c r="L12" s="261">
        <v>58684</v>
      </c>
    </row>
    <row r="13" spans="2:12" ht="16.5" thickBot="1">
      <c r="B13" s="262" t="s">
        <v>198</v>
      </c>
      <c r="C13" s="261">
        <f aca="true" t="shared" si="0" ref="C13:J13">SUM(C9:C12)</f>
        <v>5908</v>
      </c>
      <c r="D13" s="261">
        <f t="shared" si="0"/>
        <v>75466</v>
      </c>
      <c r="E13" s="261">
        <f t="shared" si="0"/>
        <v>5466</v>
      </c>
      <c r="F13" s="261">
        <f t="shared" si="0"/>
        <v>120803</v>
      </c>
      <c r="G13" s="260">
        <f t="shared" si="0"/>
        <v>5432</v>
      </c>
      <c r="H13" s="261">
        <f t="shared" si="0"/>
        <v>69722</v>
      </c>
      <c r="I13" s="260">
        <f t="shared" si="0"/>
        <v>5300</v>
      </c>
      <c r="J13" s="261">
        <f t="shared" si="0"/>
        <v>95981</v>
      </c>
      <c r="K13" s="260">
        <f>SUM(K9:K12)</f>
        <v>5170</v>
      </c>
      <c r="L13" s="261">
        <f>SUM(L9:L12)</f>
        <v>83639</v>
      </c>
    </row>
    <row r="14" spans="2:12" ht="15.75">
      <c r="B14" s="257" t="s">
        <v>199</v>
      </c>
      <c r="C14" s="263" t="s">
        <v>144</v>
      </c>
      <c r="D14" s="264"/>
      <c r="E14" s="263" t="s">
        <v>141</v>
      </c>
      <c r="F14" s="264"/>
      <c r="G14" s="265"/>
      <c r="H14" s="266" t="s">
        <v>144</v>
      </c>
      <c r="I14" s="265"/>
      <c r="J14" s="266" t="s">
        <v>144</v>
      </c>
      <c r="K14" s="265"/>
      <c r="L14" s="266" t="s">
        <v>144</v>
      </c>
    </row>
    <row r="15" spans="2:12" ht="15.75">
      <c r="B15" s="267" t="s">
        <v>200</v>
      </c>
      <c r="C15" s="268"/>
      <c r="D15" s="269"/>
      <c r="E15" s="268"/>
      <c r="F15" s="269"/>
      <c r="G15" s="268"/>
      <c r="H15" s="269"/>
      <c r="I15" s="268"/>
      <c r="J15" s="269"/>
      <c r="K15" s="268"/>
      <c r="L15" s="269"/>
    </row>
    <row r="16" spans="2:12" ht="15.75">
      <c r="B16" s="257" t="s">
        <v>201</v>
      </c>
      <c r="C16" s="270">
        <v>1</v>
      </c>
      <c r="D16" s="271"/>
      <c r="E16" s="270">
        <v>11</v>
      </c>
      <c r="F16" s="271"/>
      <c r="G16" s="270">
        <v>4</v>
      </c>
      <c r="H16" s="271"/>
      <c r="I16" s="270">
        <v>8</v>
      </c>
      <c r="J16" s="271"/>
      <c r="K16" s="270">
        <v>9</v>
      </c>
      <c r="L16" s="271"/>
    </row>
    <row r="17" spans="2:12" ht="15.75">
      <c r="B17" s="257" t="s">
        <v>202</v>
      </c>
      <c r="C17" s="263">
        <v>5</v>
      </c>
      <c r="D17" s="264"/>
      <c r="E17" s="263" t="s">
        <v>144</v>
      </c>
      <c r="F17" s="264"/>
      <c r="G17" s="263" t="s">
        <v>144</v>
      </c>
      <c r="H17" s="264"/>
      <c r="I17" s="263">
        <v>1</v>
      </c>
      <c r="J17" s="264"/>
      <c r="K17" s="263" t="s">
        <v>116</v>
      </c>
      <c r="L17" s="264"/>
    </row>
    <row r="18" spans="2:12" ht="15.75">
      <c r="B18" s="257" t="s">
        <v>203</v>
      </c>
      <c r="C18" s="263" t="s">
        <v>116</v>
      </c>
      <c r="D18" s="264"/>
      <c r="E18" s="263" t="s">
        <v>204</v>
      </c>
      <c r="F18" s="264"/>
      <c r="G18" s="263">
        <v>17</v>
      </c>
      <c r="H18" s="264"/>
      <c r="I18" s="263">
        <v>91</v>
      </c>
      <c r="J18" s="264"/>
      <c r="K18" s="263">
        <v>15</v>
      </c>
      <c r="L18" s="264"/>
    </row>
    <row r="19" spans="2:12" ht="16.5" thickBot="1">
      <c r="B19" s="257" t="s">
        <v>205</v>
      </c>
      <c r="C19" s="272" t="s">
        <v>144</v>
      </c>
      <c r="D19" s="273"/>
      <c r="E19" s="272" t="s">
        <v>206</v>
      </c>
      <c r="F19" s="273"/>
      <c r="G19" s="272" t="s">
        <v>141</v>
      </c>
      <c r="H19" s="273"/>
      <c r="I19" s="272" t="s">
        <v>141</v>
      </c>
      <c r="J19" s="273"/>
      <c r="K19" s="272" t="s">
        <v>141</v>
      </c>
      <c r="L19" s="273"/>
    </row>
    <row r="20" spans="2:12" ht="15.75">
      <c r="B20" s="274" t="s">
        <v>207</v>
      </c>
      <c r="C20" s="275"/>
      <c r="D20" s="269"/>
      <c r="E20" s="275"/>
      <c r="F20" s="269"/>
      <c r="G20" s="275"/>
      <c r="H20" s="269"/>
      <c r="I20" s="275"/>
      <c r="J20" s="269"/>
      <c r="K20" s="275"/>
      <c r="L20" s="269"/>
    </row>
    <row r="21" spans="2:12" ht="15.75">
      <c r="B21" s="257" t="s">
        <v>208</v>
      </c>
      <c r="C21" s="276">
        <v>472</v>
      </c>
      <c r="D21" s="271"/>
      <c r="E21" s="276">
        <v>398</v>
      </c>
      <c r="F21" s="271"/>
      <c r="G21" s="276">
        <v>319</v>
      </c>
      <c r="H21" s="271"/>
      <c r="I21" s="276">
        <v>332</v>
      </c>
      <c r="J21" s="271"/>
      <c r="K21" s="276">
        <v>144</v>
      </c>
      <c r="L21" s="271"/>
    </row>
    <row r="22" spans="2:12" ht="16.5" thickBot="1">
      <c r="B22" s="257" t="s">
        <v>209</v>
      </c>
      <c r="C22" s="277">
        <v>5858</v>
      </c>
      <c r="D22" s="278">
        <v>218511</v>
      </c>
      <c r="E22" s="277">
        <v>4311</v>
      </c>
      <c r="F22" s="278">
        <v>261830</v>
      </c>
      <c r="G22" s="277">
        <v>5017</v>
      </c>
      <c r="H22" s="278">
        <v>240726</v>
      </c>
      <c r="I22" s="277">
        <v>4339</v>
      </c>
      <c r="J22" s="278">
        <v>233321</v>
      </c>
      <c r="K22" s="277">
        <v>2587</v>
      </c>
      <c r="L22" s="278">
        <v>249137</v>
      </c>
    </row>
    <row r="23" spans="2:12" ht="17.25" thickBot="1" thickTop="1">
      <c r="B23" s="279" t="s">
        <v>210</v>
      </c>
      <c r="C23" s="280">
        <f>SUM(C13:C22)</f>
        <v>12244</v>
      </c>
      <c r="D23" s="273"/>
      <c r="E23" s="280">
        <f>SUM(E13:E22)</f>
        <v>10186</v>
      </c>
      <c r="F23" s="261"/>
      <c r="G23" s="280">
        <f>SUM(G13:G22)</f>
        <v>10789</v>
      </c>
      <c r="H23" s="273"/>
      <c r="I23" s="280">
        <f>SUM(I13:I22)</f>
        <v>10071</v>
      </c>
      <c r="J23" s="273"/>
      <c r="K23" s="280">
        <f>SUM(K13:K22)</f>
        <v>7925</v>
      </c>
      <c r="L23" s="273"/>
    </row>
    <row r="24" spans="2:12" ht="14.25">
      <c r="B24" s="13"/>
      <c r="K24" s="281"/>
      <c r="L24" s="281"/>
    </row>
    <row r="25" ht="14.25">
      <c r="B25" s="13"/>
    </row>
    <row r="26" ht="14.25">
      <c r="B26" s="13"/>
    </row>
    <row r="27" ht="14.25">
      <c r="B27" s="13"/>
    </row>
    <row r="28" ht="14.25">
      <c r="B28" s="13"/>
    </row>
    <row r="29" ht="14.25">
      <c r="B29" s="13"/>
    </row>
    <row r="30" ht="14.25">
      <c r="B30" s="13"/>
    </row>
    <row r="31" ht="14.25">
      <c r="B31" s="13"/>
    </row>
    <row r="32" ht="14.25">
      <c r="B32" s="13"/>
    </row>
    <row r="33" ht="14.25">
      <c r="B33" s="13"/>
    </row>
    <row r="34" ht="14.25">
      <c r="B34" s="13"/>
    </row>
    <row r="35" ht="14.25">
      <c r="B35" s="13"/>
    </row>
    <row r="36" ht="14.25">
      <c r="B36" s="13"/>
    </row>
    <row r="37" ht="14.25">
      <c r="B37" s="13"/>
    </row>
    <row r="38" ht="14.25">
      <c r="B38" s="13"/>
    </row>
    <row r="39" ht="14.25">
      <c r="B39" s="13"/>
    </row>
    <row r="40" ht="14.25">
      <c r="B40" s="13"/>
    </row>
    <row r="41" ht="14.25">
      <c r="B41" s="282"/>
    </row>
    <row r="42" ht="14.25">
      <c r="B42" s="282"/>
    </row>
    <row r="43" ht="14.25">
      <c r="B43" s="282"/>
    </row>
    <row r="44" ht="14.25">
      <c r="B44" s="282"/>
    </row>
    <row r="45" ht="14.25">
      <c r="B45" s="282"/>
    </row>
    <row r="46" ht="14.25">
      <c r="B46" s="282"/>
    </row>
    <row r="47" ht="14.25">
      <c r="B47" s="282"/>
    </row>
    <row r="48" ht="14.25">
      <c r="B48" s="282"/>
    </row>
  </sheetData>
  <mergeCells count="6">
    <mergeCell ref="K7:L7"/>
    <mergeCell ref="B4:L4"/>
    <mergeCell ref="I7:J7"/>
    <mergeCell ref="G7:H7"/>
    <mergeCell ref="C7:D7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9.00390625" style="0" customWidth="1"/>
    <col min="2" max="2" width="13.140625" style="0" customWidth="1"/>
    <col min="3" max="3" width="10.57421875" style="0" customWidth="1"/>
    <col min="4" max="4" width="10.421875" style="0" customWidth="1"/>
    <col min="5" max="5" width="9.57421875" style="0" customWidth="1"/>
    <col min="6" max="6" width="11.421875" style="0" customWidth="1"/>
  </cols>
  <sheetData>
    <row r="1" spans="1:8" ht="15">
      <c r="A1" s="89"/>
      <c r="B1" s="89"/>
      <c r="C1" s="89"/>
      <c r="D1" s="89"/>
      <c r="E1" s="89"/>
      <c r="F1" s="89"/>
      <c r="G1" s="89"/>
      <c r="H1" s="89"/>
    </row>
    <row r="2" spans="1:8" ht="15">
      <c r="A2" s="89"/>
      <c r="B2" s="89"/>
      <c r="C2" s="89"/>
      <c r="D2" s="89"/>
      <c r="E2" s="89"/>
      <c r="F2" s="89"/>
      <c r="G2" s="89"/>
      <c r="H2" s="89"/>
    </row>
    <row r="3" spans="1:8" ht="20.25">
      <c r="A3" s="283" t="s">
        <v>211</v>
      </c>
      <c r="C3" s="89"/>
      <c r="D3" s="89"/>
      <c r="E3" s="89"/>
      <c r="F3" s="89"/>
      <c r="G3" s="89"/>
      <c r="H3" s="89"/>
    </row>
    <row r="4" spans="1:8" ht="15">
      <c r="A4" s="89"/>
      <c r="B4" s="89"/>
      <c r="C4" s="89"/>
      <c r="D4" s="89"/>
      <c r="E4" s="89"/>
      <c r="F4" s="89"/>
      <c r="G4" s="89"/>
      <c r="H4" s="89"/>
    </row>
    <row r="5" spans="1:8" ht="15.75" thickBot="1">
      <c r="A5" s="91" t="s">
        <v>212</v>
      </c>
      <c r="B5" s="89"/>
      <c r="C5" s="89"/>
      <c r="D5" s="89"/>
      <c r="E5" s="89"/>
      <c r="F5" s="89"/>
      <c r="G5" s="89"/>
      <c r="H5" s="89"/>
    </row>
    <row r="6" spans="1:8" ht="26.25" customHeight="1" thickBot="1" thickTop="1">
      <c r="A6" s="284" t="s">
        <v>213</v>
      </c>
      <c r="B6" s="284" t="s">
        <v>32</v>
      </c>
      <c r="C6" s="285" t="s">
        <v>214</v>
      </c>
      <c r="D6" s="286" t="s">
        <v>215</v>
      </c>
      <c r="E6" s="287"/>
      <c r="F6" s="288"/>
      <c r="G6" s="89"/>
      <c r="H6" s="89"/>
    </row>
    <row r="7" spans="1:8" ht="31.5" thickBot="1" thickTop="1">
      <c r="A7" s="289" t="s">
        <v>167</v>
      </c>
      <c r="B7" s="290" t="s">
        <v>216</v>
      </c>
      <c r="C7" s="291" t="s">
        <v>105</v>
      </c>
      <c r="D7" s="292" t="s">
        <v>217</v>
      </c>
      <c r="E7" s="293" t="s">
        <v>218</v>
      </c>
      <c r="F7" s="294" t="s">
        <v>219</v>
      </c>
      <c r="G7" s="89"/>
      <c r="H7" s="89"/>
    </row>
    <row r="8" spans="1:8" ht="21" customHeight="1" thickTop="1">
      <c r="A8" s="200" t="s">
        <v>8</v>
      </c>
      <c r="B8" s="295">
        <f>D8+E8+F8</f>
        <v>78</v>
      </c>
      <c r="C8" s="296">
        <f>B8/B17*100</f>
        <v>9.386281588447654</v>
      </c>
      <c r="D8" s="201">
        <v>49</v>
      </c>
      <c r="E8" s="201">
        <v>9</v>
      </c>
      <c r="F8" s="204">
        <v>20</v>
      </c>
      <c r="G8" s="89"/>
      <c r="H8" s="89"/>
    </row>
    <row r="9" spans="1:8" ht="21" customHeight="1">
      <c r="A9" s="105" t="s">
        <v>9</v>
      </c>
      <c r="B9" s="295">
        <f aca="true" t="shared" si="0" ref="B9:B16">D9+E9+F9</f>
        <v>2</v>
      </c>
      <c r="C9" s="297">
        <f>B9/B17*100</f>
        <v>0.24067388688327318</v>
      </c>
      <c r="D9" s="205">
        <v>1</v>
      </c>
      <c r="E9" s="205">
        <v>0</v>
      </c>
      <c r="F9" s="207">
        <v>1</v>
      </c>
      <c r="G9" s="89"/>
      <c r="H9" s="89"/>
    </row>
    <row r="10" spans="1:8" ht="21" customHeight="1">
      <c r="A10" s="105" t="s">
        <v>10</v>
      </c>
      <c r="B10" s="295">
        <f t="shared" si="0"/>
        <v>6</v>
      </c>
      <c r="C10" s="297">
        <f>B10/B17*100</f>
        <v>0.7220216606498195</v>
      </c>
      <c r="D10" s="205">
        <v>6</v>
      </c>
      <c r="E10" s="205">
        <v>0</v>
      </c>
      <c r="F10" s="207">
        <v>0</v>
      </c>
      <c r="G10" s="89"/>
      <c r="H10" s="89"/>
    </row>
    <row r="11" spans="1:8" ht="21" customHeight="1">
      <c r="A11" s="105" t="s">
        <v>11</v>
      </c>
      <c r="B11" s="295">
        <f t="shared" si="0"/>
        <v>14</v>
      </c>
      <c r="C11" s="297">
        <f>B11/B17*100</f>
        <v>1.684717208182912</v>
      </c>
      <c r="D11" s="205">
        <v>6</v>
      </c>
      <c r="E11" s="205">
        <v>0</v>
      </c>
      <c r="F11" s="207">
        <v>8</v>
      </c>
      <c r="G11" s="89"/>
      <c r="H11" s="89"/>
    </row>
    <row r="12" spans="1:8" ht="21" customHeight="1">
      <c r="A12" s="105" t="s">
        <v>12</v>
      </c>
      <c r="B12" s="295">
        <f t="shared" si="0"/>
        <v>8</v>
      </c>
      <c r="C12" s="297">
        <f>B12/B17*100</f>
        <v>0.9626955475330927</v>
      </c>
      <c r="D12" s="205">
        <v>0</v>
      </c>
      <c r="E12" s="205">
        <v>5</v>
      </c>
      <c r="F12" s="207">
        <v>3</v>
      </c>
      <c r="G12" s="89"/>
      <c r="H12" s="89"/>
    </row>
    <row r="13" spans="1:8" ht="21" customHeight="1">
      <c r="A13" s="105" t="s">
        <v>13</v>
      </c>
      <c r="B13" s="295">
        <f t="shared" si="0"/>
        <v>33</v>
      </c>
      <c r="C13" s="297">
        <f>B13/B17*100</f>
        <v>3.9711191335740073</v>
      </c>
      <c r="D13" s="205">
        <v>12</v>
      </c>
      <c r="E13" s="205">
        <v>21</v>
      </c>
      <c r="F13" s="207">
        <v>0</v>
      </c>
      <c r="G13" s="89"/>
      <c r="H13" s="89"/>
    </row>
    <row r="14" spans="1:8" ht="21" customHeight="1">
      <c r="A14" s="105" t="s">
        <v>14</v>
      </c>
      <c r="B14" s="295">
        <f t="shared" si="0"/>
        <v>20</v>
      </c>
      <c r="C14" s="297">
        <f>B14/B17*100</f>
        <v>2.406738868832732</v>
      </c>
      <c r="D14" s="205">
        <v>9</v>
      </c>
      <c r="E14" s="205">
        <v>8</v>
      </c>
      <c r="F14" s="207">
        <v>3</v>
      </c>
      <c r="G14" s="89"/>
      <c r="H14" s="89"/>
    </row>
    <row r="15" spans="1:8" ht="21" customHeight="1">
      <c r="A15" s="105" t="s">
        <v>15</v>
      </c>
      <c r="B15" s="295">
        <f t="shared" si="0"/>
        <v>26</v>
      </c>
      <c r="C15" s="297">
        <f>B15/B17*100</f>
        <v>3.1287605294825513</v>
      </c>
      <c r="D15" s="205">
        <v>15</v>
      </c>
      <c r="E15" s="205">
        <v>7</v>
      </c>
      <c r="F15" s="207">
        <v>4</v>
      </c>
      <c r="G15" s="89"/>
      <c r="H15" s="89"/>
    </row>
    <row r="16" spans="1:8" ht="21" customHeight="1" thickBot="1">
      <c r="A16" s="105" t="s">
        <v>220</v>
      </c>
      <c r="B16" s="295">
        <f t="shared" si="0"/>
        <v>644</v>
      </c>
      <c r="C16" s="297">
        <f>B16/B17*100</f>
        <v>77.49699157641395</v>
      </c>
      <c r="D16" s="205">
        <v>161</v>
      </c>
      <c r="E16" s="205">
        <v>68</v>
      </c>
      <c r="F16" s="207">
        <v>415</v>
      </c>
      <c r="G16" s="89"/>
      <c r="H16" s="89"/>
    </row>
    <row r="17" spans="1:8" ht="21" customHeight="1" thickBot="1" thickTop="1">
      <c r="A17" s="132" t="s">
        <v>221</v>
      </c>
      <c r="B17" s="133">
        <f>SUM(B8:B16)</f>
        <v>831</v>
      </c>
      <c r="C17" s="298">
        <f>SUM(C8:C16)</f>
        <v>99.99999999999999</v>
      </c>
      <c r="D17" s="133">
        <f>SUM(D8:D16)</f>
        <v>259</v>
      </c>
      <c r="E17" s="299">
        <f>SUM(E8:E16)</f>
        <v>118</v>
      </c>
      <c r="F17" s="300">
        <f>SUM(F8:F16)</f>
        <v>454</v>
      </c>
      <c r="G17" s="89"/>
      <c r="H17" s="89"/>
    </row>
    <row r="18" spans="1:8" ht="21" customHeight="1" thickTop="1">
      <c r="A18" s="301"/>
      <c r="B18" s="302"/>
      <c r="C18" s="303"/>
      <c r="D18" s="302"/>
      <c r="E18" s="303"/>
      <c r="F18" s="303"/>
      <c r="G18" s="89"/>
      <c r="H18" s="89"/>
    </row>
    <row r="19" spans="1:8" ht="15">
      <c r="A19" s="304"/>
      <c r="B19" s="304"/>
      <c r="C19" s="304"/>
      <c r="D19" s="304"/>
      <c r="E19" s="304"/>
      <c r="F19" s="304"/>
      <c r="G19" s="89"/>
      <c r="H19" s="89"/>
    </row>
    <row r="20" spans="1:8" ht="15">
      <c r="A20" s="89"/>
      <c r="B20" s="89"/>
      <c r="C20" s="89"/>
      <c r="D20" s="89"/>
      <c r="E20" s="89"/>
      <c r="F20" s="89"/>
      <c r="G20" s="89"/>
      <c r="H20" s="89"/>
    </row>
    <row r="21" spans="1:8" ht="15">
      <c r="A21" s="89"/>
      <c r="B21" s="89"/>
      <c r="C21" s="89"/>
      <c r="D21" s="89"/>
      <c r="E21" s="89"/>
      <c r="F21" s="89"/>
      <c r="G21" s="89"/>
      <c r="H21" s="89"/>
    </row>
    <row r="22" spans="1:8" ht="15">
      <c r="A22" s="89"/>
      <c r="B22" s="89"/>
      <c r="C22" s="89"/>
      <c r="D22" s="89"/>
      <c r="E22" s="89"/>
      <c r="F22" s="89"/>
      <c r="G22" s="89"/>
      <c r="H22" s="89"/>
    </row>
    <row r="23" spans="1:8" ht="15">
      <c r="A23" s="89"/>
      <c r="B23" s="89"/>
      <c r="C23" s="89"/>
      <c r="D23" s="89"/>
      <c r="E23" s="89"/>
      <c r="F23" s="89"/>
      <c r="G23" s="89"/>
      <c r="H23" s="89"/>
    </row>
    <row r="24" spans="1:8" ht="15">
      <c r="A24" s="89"/>
      <c r="B24" s="89"/>
      <c r="C24" s="89"/>
      <c r="D24" s="89"/>
      <c r="E24" s="89"/>
      <c r="F24" s="89"/>
      <c r="G24" s="89"/>
      <c r="H24" s="89"/>
    </row>
    <row r="25" spans="1:8" ht="15">
      <c r="A25" s="89"/>
      <c r="B25" s="89"/>
      <c r="C25" s="89"/>
      <c r="D25" s="89"/>
      <c r="E25" s="89"/>
      <c r="F25" s="89"/>
      <c r="G25" s="89"/>
      <c r="H25" s="89"/>
    </row>
    <row r="26" spans="1:8" ht="15">
      <c r="A26" s="89"/>
      <c r="B26" s="89"/>
      <c r="C26" s="89"/>
      <c r="D26" s="89"/>
      <c r="E26" s="89"/>
      <c r="F26" s="89"/>
      <c r="G26" s="89"/>
      <c r="H26" s="89"/>
    </row>
    <row r="27" spans="1:8" ht="15">
      <c r="A27" s="89"/>
      <c r="B27" s="89"/>
      <c r="C27" s="89"/>
      <c r="D27" s="89"/>
      <c r="E27" s="89"/>
      <c r="F27" s="89"/>
      <c r="G27" s="89"/>
      <c r="H27" s="89"/>
    </row>
    <row r="28" spans="1:8" ht="15">
      <c r="A28" s="89"/>
      <c r="B28" s="89"/>
      <c r="C28" s="89"/>
      <c r="D28" s="89"/>
      <c r="E28" s="89"/>
      <c r="F28" s="89"/>
      <c r="G28" s="89"/>
      <c r="H28" s="89"/>
    </row>
    <row r="29" spans="1:8" ht="15">
      <c r="A29" s="89"/>
      <c r="B29" s="89"/>
      <c r="C29" s="89"/>
      <c r="D29" s="89"/>
      <c r="E29" s="89"/>
      <c r="F29" s="89"/>
      <c r="G29" s="89"/>
      <c r="H29" s="89"/>
    </row>
    <row r="30" spans="1:8" ht="15">
      <c r="A30" s="89"/>
      <c r="B30" s="89"/>
      <c r="C30" s="89"/>
      <c r="D30" s="89"/>
      <c r="E30" s="89"/>
      <c r="F30" s="89"/>
      <c r="G30" s="89"/>
      <c r="H30" s="89"/>
    </row>
    <row r="31" spans="1:8" ht="15">
      <c r="A31" s="89"/>
      <c r="B31" s="89"/>
      <c r="C31" s="89"/>
      <c r="D31" s="89"/>
      <c r="E31" s="89"/>
      <c r="F31" s="89"/>
      <c r="G31" s="89"/>
      <c r="H31" s="89"/>
    </row>
    <row r="32" spans="1:8" ht="15">
      <c r="A32" s="89"/>
      <c r="B32" s="89"/>
      <c r="C32" s="89"/>
      <c r="D32" s="89"/>
      <c r="E32" s="89"/>
      <c r="F32" s="89"/>
      <c r="G32" s="89"/>
      <c r="H32" s="89"/>
    </row>
    <row r="33" spans="1:8" ht="15">
      <c r="A33" s="89"/>
      <c r="B33" s="89"/>
      <c r="C33" s="89"/>
      <c r="D33" s="89"/>
      <c r="E33" s="89"/>
      <c r="F33" s="89"/>
      <c r="G33" s="89"/>
      <c r="H33" s="89"/>
    </row>
    <row r="34" spans="1:8" ht="15">
      <c r="A34" s="89"/>
      <c r="B34" s="89"/>
      <c r="C34" s="89"/>
      <c r="D34" s="89"/>
      <c r="E34" s="89"/>
      <c r="F34" s="89"/>
      <c r="G34" s="89"/>
      <c r="H34" s="89"/>
    </row>
    <row r="35" spans="1:8" ht="15">
      <c r="A35" s="89"/>
      <c r="B35" s="89"/>
      <c r="C35" s="89"/>
      <c r="D35" s="89"/>
      <c r="E35" s="89"/>
      <c r="F35" s="89"/>
      <c r="G35" s="89"/>
      <c r="H35" s="89"/>
    </row>
    <row r="36" spans="1:8" ht="15">
      <c r="A36" s="89"/>
      <c r="B36" s="89"/>
      <c r="C36" s="89"/>
      <c r="D36" s="89"/>
      <c r="E36" s="89"/>
      <c r="F36" s="89"/>
      <c r="G36" s="89"/>
      <c r="H36" s="89"/>
    </row>
    <row r="37" spans="1:8" ht="15">
      <c r="A37" s="89"/>
      <c r="B37" s="89"/>
      <c r="C37" s="89"/>
      <c r="D37" s="89"/>
      <c r="E37" s="89"/>
      <c r="F37" s="89"/>
      <c r="G37" s="89"/>
      <c r="H37" s="89"/>
    </row>
    <row r="38" spans="1:8" ht="15">
      <c r="A38" s="89"/>
      <c r="B38" s="89"/>
      <c r="C38" s="89"/>
      <c r="D38" s="89"/>
      <c r="E38" s="89"/>
      <c r="F38" s="8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>
      <c r="A40" s="89"/>
      <c r="B40" s="89"/>
      <c r="C40" s="89"/>
      <c r="D40" s="89"/>
      <c r="E40" s="89"/>
      <c r="F40" s="89"/>
      <c r="G40" s="89"/>
      <c r="H40" s="89"/>
    </row>
    <row r="41" spans="1:8" ht="15">
      <c r="A41" s="89"/>
      <c r="B41" s="89"/>
      <c r="C41" s="89"/>
      <c r="D41" s="89"/>
      <c r="E41" s="89"/>
      <c r="F41" s="89"/>
      <c r="G41" s="89"/>
      <c r="H41" s="89"/>
    </row>
    <row r="42" spans="1:8" ht="15">
      <c r="A42" s="89"/>
      <c r="B42" s="89"/>
      <c r="C42" s="89"/>
      <c r="D42" s="89"/>
      <c r="E42" s="89"/>
      <c r="F42" s="89"/>
      <c r="G42" s="89"/>
      <c r="H42" s="89"/>
    </row>
    <row r="43" spans="1:8" ht="15">
      <c r="A43" s="89"/>
      <c r="B43" s="89"/>
      <c r="C43" s="89"/>
      <c r="D43" s="89"/>
      <c r="E43" s="89"/>
      <c r="F43" s="89"/>
      <c r="G43" s="89"/>
      <c r="H43" s="89"/>
    </row>
    <row r="44" spans="1:8" ht="15">
      <c r="A44" s="89"/>
      <c r="B44" s="89"/>
      <c r="C44" s="89"/>
      <c r="D44" s="89"/>
      <c r="E44" s="89"/>
      <c r="F44" s="89"/>
      <c r="G44" s="89"/>
      <c r="H44" s="89"/>
    </row>
    <row r="45" spans="1:8" ht="15">
      <c r="A45" s="89"/>
      <c r="B45" s="89"/>
      <c r="C45" s="89"/>
      <c r="D45" s="89"/>
      <c r="E45" s="89"/>
      <c r="F45" s="89"/>
      <c r="G45" s="89"/>
      <c r="H45" s="89"/>
    </row>
    <row r="46" spans="1:8" ht="15">
      <c r="A46" s="89"/>
      <c r="B46" s="89"/>
      <c r="C46" s="89"/>
      <c r="D46" s="89"/>
      <c r="E46" s="89"/>
      <c r="F46" s="89"/>
      <c r="G46" s="89"/>
      <c r="H46" s="89"/>
    </row>
    <row r="47" spans="1:8" ht="15">
      <c r="A47" s="89"/>
      <c r="B47" s="89"/>
      <c r="C47" s="89"/>
      <c r="D47" s="89"/>
      <c r="E47" s="89"/>
      <c r="F47" s="8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89"/>
      <c r="B49" s="89"/>
      <c r="C49" s="89"/>
      <c r="D49" s="89"/>
      <c r="E49" s="89"/>
      <c r="F49" s="89"/>
      <c r="G49" s="89"/>
      <c r="H49" s="8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2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8515625" style="305" customWidth="1"/>
    <col min="2" max="2" width="9.140625" style="305" customWidth="1"/>
    <col min="3" max="3" width="28.140625" style="305" customWidth="1"/>
    <col min="4" max="7" width="11.7109375" style="305" customWidth="1"/>
    <col min="8" max="10" width="9.57421875" style="305" bestFit="1" customWidth="1"/>
    <col min="11" max="11" width="9.421875" style="305" bestFit="1" customWidth="1"/>
    <col min="12" max="12" width="11.57421875" style="305" bestFit="1" customWidth="1"/>
    <col min="13" max="16384" width="9.140625" style="305" customWidth="1"/>
  </cols>
  <sheetData>
    <row r="2" spans="3:10" ht="20.25">
      <c r="C2" s="549" t="s">
        <v>222</v>
      </c>
      <c r="D2" s="550"/>
      <c r="E2" s="550"/>
      <c r="F2" s="550"/>
      <c r="G2" s="550"/>
      <c r="H2" s="550"/>
      <c r="I2" s="550"/>
      <c r="J2" s="550"/>
    </row>
    <row r="3" ht="15.75">
      <c r="C3" s="306"/>
    </row>
    <row r="4" spans="2:3" ht="19.5" customHeight="1" thickBot="1">
      <c r="B4" s="307" t="s">
        <v>223</v>
      </c>
      <c r="C4" s="306"/>
    </row>
    <row r="5" spans="2:12" ht="16.5" thickBot="1" thickTop="1">
      <c r="B5" s="552" t="s">
        <v>224</v>
      </c>
      <c r="C5" s="553"/>
      <c r="D5" s="558" t="s">
        <v>225</v>
      </c>
      <c r="E5" s="559"/>
      <c r="F5" s="559"/>
      <c r="G5" s="559"/>
      <c r="H5" s="560"/>
      <c r="I5" s="560"/>
      <c r="J5" s="560"/>
      <c r="K5" s="560"/>
      <c r="L5" s="561"/>
    </row>
    <row r="6" spans="2:12" ht="17.25" thickBot="1" thickTop="1">
      <c r="B6" s="554"/>
      <c r="C6" s="555"/>
      <c r="D6" s="308">
        <v>2000</v>
      </c>
      <c r="E6" s="309">
        <v>2001</v>
      </c>
      <c r="F6" s="309">
        <v>2002</v>
      </c>
      <c r="G6" s="310">
        <v>2003</v>
      </c>
      <c r="H6" s="310">
        <v>2004</v>
      </c>
      <c r="I6" s="310">
        <v>2005</v>
      </c>
      <c r="J6" s="311">
        <v>2006</v>
      </c>
      <c r="K6" s="312">
        <v>2007</v>
      </c>
      <c r="L6" s="313">
        <v>2008</v>
      </c>
    </row>
    <row r="7" spans="2:12" ht="21.75" customHeight="1" thickTop="1">
      <c r="B7" s="556" t="s">
        <v>226</v>
      </c>
      <c r="C7" s="557"/>
      <c r="D7" s="314">
        <v>2434</v>
      </c>
      <c r="E7" s="315">
        <v>2941</v>
      </c>
      <c r="F7" s="315">
        <v>3534</v>
      </c>
      <c r="G7" s="316">
        <v>4315</v>
      </c>
      <c r="H7" s="316">
        <v>4850</v>
      </c>
      <c r="I7" s="316">
        <v>6506</v>
      </c>
      <c r="J7" s="315">
        <v>6807</v>
      </c>
      <c r="K7" s="317">
        <v>7300</v>
      </c>
      <c r="L7" s="318">
        <v>7570</v>
      </c>
    </row>
    <row r="8" spans="2:12" ht="21.75" customHeight="1">
      <c r="B8" s="545" t="s">
        <v>227</v>
      </c>
      <c r="C8" s="546"/>
      <c r="D8" s="319">
        <v>616</v>
      </c>
      <c r="E8" s="320">
        <v>688</v>
      </c>
      <c r="F8" s="320">
        <v>1147</v>
      </c>
      <c r="G8" s="321">
        <v>1456</v>
      </c>
      <c r="H8" s="321">
        <v>1222</v>
      </c>
      <c r="I8" s="321">
        <v>1496</v>
      </c>
      <c r="J8" s="320">
        <v>1710</v>
      </c>
      <c r="K8" s="322">
        <v>2153</v>
      </c>
      <c r="L8" s="323">
        <v>2487</v>
      </c>
    </row>
    <row r="9" spans="2:12" ht="21.75" customHeight="1">
      <c r="B9" s="541" t="s">
        <v>228</v>
      </c>
      <c r="C9" s="542"/>
      <c r="D9" s="324">
        <f aca="true" t="shared" si="0" ref="D9:K9">D8/D7*100</f>
        <v>25.30813475760066</v>
      </c>
      <c r="E9" s="325">
        <f t="shared" si="0"/>
        <v>23.393403604216253</v>
      </c>
      <c r="F9" s="325">
        <f t="shared" si="0"/>
        <v>32.45614035087719</v>
      </c>
      <c r="G9" s="326">
        <f t="shared" si="0"/>
        <v>33.74275782155272</v>
      </c>
      <c r="H9" s="326">
        <f t="shared" si="0"/>
        <v>25.195876288659797</v>
      </c>
      <c r="I9" s="326">
        <f t="shared" si="0"/>
        <v>22.994159237626807</v>
      </c>
      <c r="J9" s="325">
        <f t="shared" si="0"/>
        <v>25.1211987659762</v>
      </c>
      <c r="K9" s="327">
        <f t="shared" si="0"/>
        <v>29.493150684931507</v>
      </c>
      <c r="L9" s="328">
        <f>L8/L7*100</f>
        <v>32.85336856010568</v>
      </c>
    </row>
    <row r="10" spans="2:12" ht="21.75" customHeight="1">
      <c r="B10" s="545" t="s">
        <v>229</v>
      </c>
      <c r="C10" s="546"/>
      <c r="D10" s="319">
        <v>27315</v>
      </c>
      <c r="E10" s="320">
        <v>25904</v>
      </c>
      <c r="F10" s="320">
        <v>24567</v>
      </c>
      <c r="G10" s="321">
        <v>23879</v>
      </c>
      <c r="H10" s="321">
        <v>25519</v>
      </c>
      <c r="I10" s="321">
        <v>27768</v>
      </c>
      <c r="J10" s="320">
        <v>25224</v>
      </c>
      <c r="K10" s="322">
        <v>24889</v>
      </c>
      <c r="L10" s="329">
        <v>36794</v>
      </c>
    </row>
    <row r="11" spans="2:12" ht="21.75" customHeight="1">
      <c r="B11" s="541" t="s">
        <v>230</v>
      </c>
      <c r="C11" s="542"/>
      <c r="D11" s="319">
        <v>14686</v>
      </c>
      <c r="E11" s="320">
        <v>13678</v>
      </c>
      <c r="F11" s="320">
        <v>10721</v>
      </c>
      <c r="G11" s="321">
        <v>8869</v>
      </c>
      <c r="H11" s="321">
        <v>5858</v>
      </c>
      <c r="I11" s="321">
        <v>4311</v>
      </c>
      <c r="J11" s="330">
        <v>5218</v>
      </c>
      <c r="K11" s="331">
        <v>4284</v>
      </c>
      <c r="L11" s="323">
        <v>2503</v>
      </c>
    </row>
    <row r="12" spans="2:12" ht="21.75" customHeight="1">
      <c r="B12" s="547" t="s">
        <v>231</v>
      </c>
      <c r="C12" s="548"/>
      <c r="D12" s="324">
        <f aca="true" t="shared" si="1" ref="D12:K12">D11/D10*100</f>
        <v>53.76533040453963</v>
      </c>
      <c r="E12" s="325">
        <f t="shared" si="1"/>
        <v>52.80265596046942</v>
      </c>
      <c r="F12" s="325">
        <f t="shared" si="1"/>
        <v>43.639842064558145</v>
      </c>
      <c r="G12" s="326">
        <f t="shared" si="1"/>
        <v>37.141421332551616</v>
      </c>
      <c r="H12" s="326">
        <f t="shared" si="1"/>
        <v>22.955444962576905</v>
      </c>
      <c r="I12" s="326">
        <f t="shared" si="1"/>
        <v>15.525064822817633</v>
      </c>
      <c r="J12" s="325">
        <f t="shared" si="1"/>
        <v>20.68664763717095</v>
      </c>
      <c r="K12" s="327">
        <f t="shared" si="1"/>
        <v>17.21242315882518</v>
      </c>
      <c r="L12" s="328">
        <f>L11/L10*100</f>
        <v>6.802739577104963</v>
      </c>
    </row>
    <row r="13" spans="2:12" ht="21.75" customHeight="1">
      <c r="B13" s="541" t="s">
        <v>232</v>
      </c>
      <c r="C13" s="542"/>
      <c r="D13" s="332">
        <v>343.4</v>
      </c>
      <c r="E13" s="333">
        <v>447.2</v>
      </c>
      <c r="F13" s="333">
        <v>544.7</v>
      </c>
      <c r="G13" s="334">
        <v>456.3</v>
      </c>
      <c r="H13" s="334">
        <v>218.52</v>
      </c>
      <c r="I13" s="334">
        <v>261.83</v>
      </c>
      <c r="J13" s="330">
        <v>240.73</v>
      </c>
      <c r="K13" s="331">
        <v>233.32</v>
      </c>
      <c r="L13" s="323">
        <v>249.14</v>
      </c>
    </row>
    <row r="14" spans="2:12" ht="21.75" customHeight="1">
      <c r="B14" s="541" t="s">
        <v>233</v>
      </c>
      <c r="C14" s="542"/>
      <c r="D14" s="319">
        <v>203</v>
      </c>
      <c r="E14" s="320">
        <v>161</v>
      </c>
      <c r="F14" s="320">
        <v>235</v>
      </c>
      <c r="G14" s="321">
        <v>1439</v>
      </c>
      <c r="H14" s="321">
        <v>1138</v>
      </c>
      <c r="I14" s="321">
        <v>89</v>
      </c>
      <c r="J14" s="330">
        <v>524</v>
      </c>
      <c r="K14" s="331">
        <v>508</v>
      </c>
      <c r="L14" s="323">
        <v>432</v>
      </c>
    </row>
    <row r="15" spans="2:12" ht="21.75" customHeight="1">
      <c r="B15" s="541" t="s">
        <v>234</v>
      </c>
      <c r="C15" s="542"/>
      <c r="D15" s="319">
        <v>32</v>
      </c>
      <c r="E15" s="320">
        <v>94</v>
      </c>
      <c r="F15" s="320">
        <v>195</v>
      </c>
      <c r="G15" s="321">
        <v>450</v>
      </c>
      <c r="H15" s="321">
        <v>435</v>
      </c>
      <c r="I15" s="321">
        <v>42</v>
      </c>
      <c r="J15" s="330">
        <v>228</v>
      </c>
      <c r="K15" s="331">
        <v>309</v>
      </c>
      <c r="L15" s="323">
        <v>314</v>
      </c>
    </row>
    <row r="16" spans="2:12" ht="21.75" customHeight="1">
      <c r="B16" s="541" t="s">
        <v>235</v>
      </c>
      <c r="C16" s="551"/>
      <c r="D16" s="324">
        <f aca="true" t="shared" si="2" ref="D16:K16">D15/D14*100</f>
        <v>15.763546798029557</v>
      </c>
      <c r="E16" s="324">
        <f t="shared" si="2"/>
        <v>58.38509316770186</v>
      </c>
      <c r="F16" s="324">
        <f t="shared" si="2"/>
        <v>82.97872340425532</v>
      </c>
      <c r="G16" s="327">
        <f t="shared" si="2"/>
        <v>31.271716469770674</v>
      </c>
      <c r="H16" s="326">
        <f t="shared" si="2"/>
        <v>38.22495606326889</v>
      </c>
      <c r="I16" s="326">
        <f t="shared" si="2"/>
        <v>47.19101123595505</v>
      </c>
      <c r="J16" s="325">
        <f t="shared" si="2"/>
        <v>43.51145038167939</v>
      </c>
      <c r="K16" s="327">
        <f t="shared" si="2"/>
        <v>60.82677165354331</v>
      </c>
      <c r="L16" s="328">
        <f>L15/L14*100</f>
        <v>72.68518518518519</v>
      </c>
    </row>
    <row r="17" spans="2:12" ht="24.75" customHeight="1">
      <c r="B17" s="543" t="s">
        <v>62</v>
      </c>
      <c r="C17" s="335" t="s">
        <v>168</v>
      </c>
      <c r="D17" s="319">
        <v>23</v>
      </c>
      <c r="E17" s="320">
        <v>16</v>
      </c>
      <c r="F17" s="330">
        <v>20</v>
      </c>
      <c r="G17" s="336">
        <v>44</v>
      </c>
      <c r="H17" s="336">
        <v>37</v>
      </c>
      <c r="I17" s="336">
        <v>57</v>
      </c>
      <c r="J17" s="330">
        <v>78</v>
      </c>
      <c r="K17" s="331">
        <v>191</v>
      </c>
      <c r="L17" s="323">
        <v>197</v>
      </c>
    </row>
    <row r="18" spans="2:12" ht="24.75" customHeight="1">
      <c r="B18" s="544"/>
      <c r="C18" s="337" t="s">
        <v>236</v>
      </c>
      <c r="D18" s="319">
        <v>22</v>
      </c>
      <c r="E18" s="320">
        <v>14</v>
      </c>
      <c r="F18" s="330">
        <v>19</v>
      </c>
      <c r="G18" s="336">
        <v>44</v>
      </c>
      <c r="H18" s="336">
        <v>33</v>
      </c>
      <c r="I18" s="336">
        <v>38</v>
      </c>
      <c r="J18" s="330">
        <v>63</v>
      </c>
      <c r="K18" s="331">
        <v>182</v>
      </c>
      <c r="L18" s="323">
        <v>193</v>
      </c>
    </row>
    <row r="19" spans="2:12" ht="24.75" customHeight="1">
      <c r="B19" s="544"/>
      <c r="C19" s="338" t="s">
        <v>238</v>
      </c>
      <c r="D19" s="319">
        <v>1</v>
      </c>
      <c r="E19" s="320">
        <v>2</v>
      </c>
      <c r="F19" s="330">
        <v>1</v>
      </c>
      <c r="G19" s="336">
        <v>0</v>
      </c>
      <c r="H19" s="336">
        <v>4</v>
      </c>
      <c r="I19" s="336">
        <v>19</v>
      </c>
      <c r="J19" s="330">
        <v>15</v>
      </c>
      <c r="K19" s="331">
        <v>9</v>
      </c>
      <c r="L19" s="323">
        <v>4</v>
      </c>
    </row>
    <row r="20" spans="2:12" ht="21.75" customHeight="1" thickBot="1">
      <c r="B20" s="539" t="s">
        <v>237</v>
      </c>
      <c r="C20" s="540"/>
      <c r="D20" s="339">
        <v>54</v>
      </c>
      <c r="E20" s="340">
        <v>55</v>
      </c>
      <c r="F20" s="341">
        <v>83</v>
      </c>
      <c r="G20" s="342">
        <v>0</v>
      </c>
      <c r="H20" s="342">
        <v>238</v>
      </c>
      <c r="I20" s="342">
        <v>540</v>
      </c>
      <c r="J20" s="341">
        <v>653</v>
      </c>
      <c r="K20" s="343">
        <v>1100</v>
      </c>
      <c r="L20" s="344">
        <v>1318</v>
      </c>
    </row>
    <row r="21" ht="6" customHeight="1" thickTop="1"/>
    <row r="22" ht="12.75">
      <c r="B22" s="345"/>
    </row>
    <row r="23" ht="12.75">
      <c r="B23" s="345"/>
    </row>
    <row r="25" spans="2:16" ht="12.75">
      <c r="B25" s="345"/>
      <c r="D25" s="345"/>
      <c r="E25" s="345"/>
      <c r="F25" s="345"/>
      <c r="G25" s="345"/>
      <c r="H25" s="345"/>
      <c r="I25" s="345"/>
      <c r="J25" s="346"/>
      <c r="K25" s="346"/>
      <c r="L25" s="346"/>
      <c r="M25" s="346"/>
      <c r="N25" s="346"/>
      <c r="O25" s="346"/>
      <c r="P25" s="346"/>
    </row>
    <row r="26" spans="2:9" ht="12.75">
      <c r="B26" s="345"/>
      <c r="D26" s="345"/>
      <c r="E26" s="345"/>
      <c r="F26" s="345"/>
      <c r="G26" s="345"/>
      <c r="H26" s="345"/>
      <c r="I26" s="345"/>
    </row>
  </sheetData>
  <mergeCells count="15">
    <mergeCell ref="C2:J2"/>
    <mergeCell ref="B16:C16"/>
    <mergeCell ref="B5:C6"/>
    <mergeCell ref="B7:C7"/>
    <mergeCell ref="D5:L5"/>
    <mergeCell ref="B20:C20"/>
    <mergeCell ref="B14:C14"/>
    <mergeCell ref="B17:B19"/>
    <mergeCell ref="B8:C8"/>
    <mergeCell ref="B9:C9"/>
    <mergeCell ref="B10:C10"/>
    <mergeCell ref="B11:C11"/>
    <mergeCell ref="B12:C12"/>
    <mergeCell ref="B15:C15"/>
    <mergeCell ref="B13:C13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HelenaH</cp:lastModifiedBy>
  <cp:lastPrinted>2009-03-18T08:59:17Z</cp:lastPrinted>
  <dcterms:modified xsi:type="dcterms:W3CDTF">2009-03-18T08:59:21Z</dcterms:modified>
  <cp:category/>
  <cp:version/>
  <cp:contentType/>
  <cp:contentStatus/>
</cp:coreProperties>
</file>