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135" windowWidth="9720" windowHeight="7320" firstSheet="3" activeTab="9"/>
  </bookViews>
  <sheets>
    <sheet name="tabuľka1" sheetId="1" r:id="rId1"/>
    <sheet name="tabuľka2" sheetId="2" r:id="rId2"/>
    <sheet name="tabuľka3" sheetId="3" r:id="rId3"/>
    <sheet name="tabuľka4" sheetId="4" r:id="rId4"/>
    <sheet name="tabuľka5" sheetId="5" r:id="rId5"/>
    <sheet name="tabuľka6" sheetId="6" r:id="rId6"/>
    <sheet name="tabuľka7" sheetId="7" r:id="rId7"/>
    <sheet name="tabuľka8a9" sheetId="8" r:id="rId8"/>
    <sheet name="tabuľka10" sheetId="9" r:id="rId9"/>
    <sheet name="tabuľka11" sheetId="10" r:id="rId10"/>
  </sheets>
  <definedNames/>
  <calcPr fullCalcOnLoad="1"/>
</workbook>
</file>

<file path=xl/sharedStrings.xml><?xml version="1.0" encoding="utf-8"?>
<sst xmlns="http://schemas.openxmlformats.org/spreadsheetml/2006/main" count="306" uniqueCount="187">
  <si>
    <t>Tabuľka 1</t>
  </si>
  <si>
    <t>Inšpektorát
pre kraj</t>
  </si>
  <si>
    <t>Počet
kontrolovaných
prevádzkarní</t>
  </si>
  <si>
    <t>Počet
kontrolných
nákupov</t>
  </si>
  <si>
    <t>Počet
predražených
nákupov</t>
  </si>
  <si>
    <t>Podiel
predražených
nákupov v %</t>
  </si>
  <si>
    <t>Miera
predraženia
na 100,- Sk</t>
  </si>
  <si>
    <t>Hodnota
pozastaveného
tovaru</t>
  </si>
  <si>
    <t>Hodnota 
znehodnoteného
tovaru</t>
  </si>
  <si>
    <t>Bratislavský</t>
  </si>
  <si>
    <t>Trnavský</t>
  </si>
  <si>
    <t>Trenčiansky</t>
  </si>
  <si>
    <t>Nitriansky</t>
  </si>
  <si>
    <t>Žilinský</t>
  </si>
  <si>
    <t>Banskobystrický</t>
  </si>
  <si>
    <t>Prešovský</t>
  </si>
  <si>
    <t>Košický</t>
  </si>
  <si>
    <t xml:space="preserve">        Výsledky kontrolnej činnosti SOI za rok  2001</t>
  </si>
  <si>
    <t>Spolu rok 2001</t>
  </si>
  <si>
    <t xml:space="preserve">            rok 2000</t>
  </si>
  <si>
    <t>Prehľad kontrolovaného sortimentu za rok 2001</t>
  </si>
  <si>
    <t xml:space="preserve">     podľa územnosprávneho usporiadania SR</t>
  </si>
  <si>
    <t xml:space="preserve"> </t>
  </si>
  <si>
    <t>Tabuľka  2</t>
  </si>
  <si>
    <t xml:space="preserve">             Kraj</t>
  </si>
  <si>
    <t xml:space="preserve"> Trnavský</t>
  </si>
  <si>
    <t xml:space="preserve"> Trenčiansky</t>
  </si>
  <si>
    <t xml:space="preserve">  Nitriansky</t>
  </si>
  <si>
    <t xml:space="preserve"> Žilinský</t>
  </si>
  <si>
    <t xml:space="preserve">  Prešovský</t>
  </si>
  <si>
    <t xml:space="preserve"> Košický</t>
  </si>
  <si>
    <t xml:space="preserve">        Spolu</t>
  </si>
  <si>
    <t>Sortiment</t>
  </si>
  <si>
    <t>Počet</t>
  </si>
  <si>
    <t xml:space="preserve">   v %</t>
  </si>
  <si>
    <t xml:space="preserve">    v %</t>
  </si>
  <si>
    <t xml:space="preserve">Podiel v % </t>
  </si>
  <si>
    <t xml:space="preserve">  v %</t>
  </si>
  <si>
    <t>Potravinársky tovar</t>
  </si>
  <si>
    <t>Rozličný tovar</t>
  </si>
  <si>
    <t>Nepotravinársky tovar</t>
  </si>
  <si>
    <t>Pohostinské zariadenia</t>
  </si>
  <si>
    <t>Ubytovacie zariadenia</t>
  </si>
  <si>
    <t>Cestovné kancelárie</t>
  </si>
  <si>
    <t>Služby</t>
  </si>
  <si>
    <t>Spolu:</t>
  </si>
  <si>
    <t>Podnikateľské</t>
  </si>
  <si>
    <t xml:space="preserve"> Pozastavený predaj tovaru za zistené nedostatky</t>
  </si>
  <si>
    <t xml:space="preserve">                        Znehodnotený tovar</t>
  </si>
  <si>
    <t>subjekty</t>
  </si>
  <si>
    <t>kontrolovaných</t>
  </si>
  <si>
    <t xml:space="preserve">   Tovar tuzemskej výroby</t>
  </si>
  <si>
    <t xml:space="preserve">         Tovar z dovozu</t>
  </si>
  <si>
    <t>vo vlastníctve</t>
  </si>
  <si>
    <t>jednotiek</t>
  </si>
  <si>
    <t xml:space="preserve">počet druhov </t>
  </si>
  <si>
    <t>suma v Sk</t>
  </si>
  <si>
    <t>počet druhov</t>
  </si>
  <si>
    <t>Štátnom</t>
  </si>
  <si>
    <t>Družstevnom</t>
  </si>
  <si>
    <t>Súkromnom</t>
  </si>
  <si>
    <t>Ostatnom</t>
  </si>
  <si>
    <t>Spolu za SR</t>
  </si>
  <si>
    <t xml:space="preserve">               Podľa vlastníckych vzťahov</t>
  </si>
  <si>
    <t xml:space="preserve">       Tuzemsko</t>
  </si>
  <si>
    <t xml:space="preserve">        Dovoz</t>
  </si>
  <si>
    <t xml:space="preserve">                     S  p  o  l  u</t>
  </si>
  <si>
    <t xml:space="preserve">         Dôvod</t>
  </si>
  <si>
    <t>Počet
druhov</t>
  </si>
  <si>
    <t>Hodnota
   v Sk</t>
  </si>
  <si>
    <t>Podiel
   v %</t>
  </si>
  <si>
    <t>Hodnota 
   v Sk</t>
  </si>
  <si>
    <t>Podiel
  v Sk</t>
  </si>
  <si>
    <t>Kvalita</t>
  </si>
  <si>
    <t>Vyhlásenie o zhode</t>
  </si>
  <si>
    <t>Označovanie</t>
  </si>
  <si>
    <t>Návody na údržbu</t>
  </si>
  <si>
    <t>Doba spotreby</t>
  </si>
  <si>
    <t>S p o l u</t>
  </si>
  <si>
    <t xml:space="preserve">             Výsledky kontrolnej činnosti SOI za rok 2001</t>
  </si>
  <si>
    <t>Prehľad o pozastavenom tovare za rok 2001</t>
  </si>
  <si>
    <t>Tabuľka  4</t>
  </si>
  <si>
    <t xml:space="preserve">                Výsledky kontrolnej činnosti SOI za rok 2001 - nepotravinársky tovar</t>
  </si>
  <si>
    <t xml:space="preserve">    Podľa sortimentných skupín</t>
  </si>
  <si>
    <t>Tabuľka  5</t>
  </si>
  <si>
    <t xml:space="preserve">                 Pozastavený predaj tovaru za zistené nedostatky</t>
  </si>
  <si>
    <t xml:space="preserve">        Tuzemsko</t>
  </si>
  <si>
    <t xml:space="preserve">          Dovoz</t>
  </si>
  <si>
    <t xml:space="preserve">                           S p o l u</t>
  </si>
  <si>
    <t>prevádzkarní</t>
  </si>
  <si>
    <t>Počet druhov</t>
  </si>
  <si>
    <t>Hodnota v Sk</t>
  </si>
  <si>
    <t xml:space="preserve"> Hodnota v Sk</t>
  </si>
  <si>
    <t>Podiel v %</t>
  </si>
  <si>
    <t>Textil a odevy</t>
  </si>
  <si>
    <t>Nábytok</t>
  </si>
  <si>
    <t>Stavebný materiál</t>
  </si>
  <si>
    <t>Elektrospotrebiče</t>
  </si>
  <si>
    <t>Spotrebná elektronika</t>
  </si>
  <si>
    <t>Obuv</t>
  </si>
  <si>
    <t>Športové potreby</t>
  </si>
  <si>
    <t>Hračky</t>
  </si>
  <si>
    <t>Farby- laky</t>
  </si>
  <si>
    <t>Drogériový tovar</t>
  </si>
  <si>
    <t>Ostatný tovar</t>
  </si>
  <si>
    <t>Spolu</t>
  </si>
  <si>
    <t xml:space="preserve">        Výsledky rozborov vzoriek za rok 2001</t>
  </si>
  <si>
    <t>Tabuľka 6</t>
  </si>
  <si>
    <t>Inšpektorát</t>
  </si>
  <si>
    <t xml:space="preserve">         V z o r k y  </t>
  </si>
  <si>
    <t>pre kraj</t>
  </si>
  <si>
    <t>odobraté</t>
  </si>
  <si>
    <t>bez kontra</t>
  </si>
  <si>
    <t xml:space="preserve">   nevyhovujúce vzorky</t>
  </si>
  <si>
    <t>celkom</t>
  </si>
  <si>
    <t>vzoriek</t>
  </si>
  <si>
    <t>počet</t>
  </si>
  <si>
    <t xml:space="preserve">      v %</t>
  </si>
  <si>
    <t>Výsledky kontrolnej činnosti SOI za rok 2001 - zákon</t>
  </si>
  <si>
    <t xml:space="preserve">o technických požiadavkách na výrobky a o posudzovaní zhody </t>
  </si>
  <si>
    <t xml:space="preserve">          Nepotravinársky sortiment </t>
  </si>
  <si>
    <t>Tabuľka 7</t>
  </si>
  <si>
    <t>Elektro</t>
  </si>
  <si>
    <t>Železiarsky tovar</t>
  </si>
  <si>
    <t>OOPP</t>
  </si>
  <si>
    <t>Pyrotechnické výrobky</t>
  </si>
  <si>
    <t>Poznámka:</t>
  </si>
  <si>
    <t>OOPP - osobné ochranné pracovné prostriedky</t>
  </si>
  <si>
    <t xml:space="preserve">      Prehľad sťažností, podnetov a oznámení  za rok 2001</t>
  </si>
  <si>
    <t>Tabuľka 8</t>
  </si>
  <si>
    <t xml:space="preserve">Inšpektorát </t>
  </si>
  <si>
    <t>prijaté</t>
  </si>
  <si>
    <t xml:space="preserve">        z toho</t>
  </si>
  <si>
    <t>prešetrené</t>
  </si>
  <si>
    <t xml:space="preserve">               z toho</t>
  </si>
  <si>
    <t>v riešení</t>
  </si>
  <si>
    <t>odstúpené</t>
  </si>
  <si>
    <t>odpísané</t>
  </si>
  <si>
    <t>adresné</t>
  </si>
  <si>
    <t>anonymné</t>
  </si>
  <si>
    <t>opodstatnené</t>
  </si>
  <si>
    <t>neopodstatnené</t>
  </si>
  <si>
    <t>bez šetrenia</t>
  </si>
  <si>
    <t>ÚI SOI</t>
  </si>
  <si>
    <t>S p o l u  rok 2001</t>
  </si>
  <si>
    <t xml:space="preserve">                 rok 2000</t>
  </si>
  <si>
    <t>Index 2001/2000 (%)</t>
  </si>
  <si>
    <t xml:space="preserve">                                Prehľad sťažností, podnetov a oznámení za rok 2001 -  z toho služby</t>
  </si>
  <si>
    <t>Tabuľka 9</t>
  </si>
  <si>
    <t xml:space="preserve">            z toho</t>
  </si>
  <si>
    <t xml:space="preserve">   bez šetrenia</t>
  </si>
  <si>
    <t xml:space="preserve">            Prehľad pokút a opatrení uložených SOI v roku 2001</t>
  </si>
  <si>
    <t>Tabuľka  10</t>
  </si>
  <si>
    <t xml:space="preserve">              Rok 1999</t>
  </si>
  <si>
    <t xml:space="preserve">           Rok 2000</t>
  </si>
  <si>
    <t xml:space="preserve">           Rok 2001</t>
  </si>
  <si>
    <t>Druh pokuty a opatrenia</t>
  </si>
  <si>
    <t xml:space="preserve">
počet</t>
  </si>
  <si>
    <t xml:space="preserve">
Hodnota v tis. Sk</t>
  </si>
  <si>
    <t>Blokové pokuty</t>
  </si>
  <si>
    <t>Peňažné pokuty fyzickým osobám</t>
  </si>
  <si>
    <t>Poriadkové pokuty</t>
  </si>
  <si>
    <t>Peňažné pokuty právnickým osobám</t>
  </si>
  <si>
    <t>Peňažné pokuty celkom</t>
  </si>
  <si>
    <t>Pokarhania</t>
  </si>
  <si>
    <t>Odstúpené :</t>
  </si>
  <si>
    <t xml:space="preserve">    návrh na odobratie živnost. oprávnenia</t>
  </si>
  <si>
    <t xml:space="preserve">    orgánom štátnej správy</t>
  </si>
  <si>
    <t xml:space="preserve">    orgánom činným v trestnom konaní</t>
  </si>
  <si>
    <t xml:space="preserve">            -</t>
  </si>
  <si>
    <t xml:space="preserve">        -</t>
  </si>
  <si>
    <t xml:space="preserve">    iným</t>
  </si>
  <si>
    <t>Zákazové opatrenia</t>
  </si>
  <si>
    <t xml:space="preserve">    na meradlá </t>
  </si>
  <si>
    <t xml:space="preserve">    na predaj tovarov </t>
  </si>
  <si>
    <t>Počet pokút a opatrení spolu</t>
  </si>
  <si>
    <t xml:space="preserve">              Publikačná činnosť SOI za rok  2001</t>
  </si>
  <si>
    <t>Tabuľka 11</t>
  </si>
  <si>
    <t>Podiel</t>
  </si>
  <si>
    <t xml:space="preserve">                z  t o h o</t>
  </si>
  <si>
    <t>publikácií 
celkom</t>
  </si>
  <si>
    <t>v %</t>
  </si>
  <si>
    <t>tlač</t>
  </si>
  <si>
    <t>rozhlas</t>
  </si>
  <si>
    <t>televízia
+ internet</t>
  </si>
  <si>
    <t>Ústredný inšpektorát</t>
  </si>
  <si>
    <t xml:space="preserve">         - 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</si>
</sst>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E"/>
      <family val="2"/>
    </font>
    <font>
      <sz val="12"/>
      <name val="Arial CE"/>
      <family val="2"/>
    </font>
    <font>
      <b/>
      <sz val="12"/>
      <name val="Arial CE"/>
      <family val="0"/>
    </font>
    <font>
      <b/>
      <i/>
      <sz val="12"/>
      <name val="Arial CE"/>
      <family val="0"/>
    </font>
    <font>
      <b/>
      <i/>
      <sz val="10"/>
      <name val="Arial CE"/>
      <family val="0"/>
    </font>
    <font>
      <sz val="11"/>
      <name val="Arial CE"/>
      <family val="2"/>
    </font>
    <font>
      <b/>
      <sz val="14"/>
      <name val="Arial"/>
      <family val="2"/>
    </font>
    <font>
      <sz val="8"/>
      <name val="Arial"/>
      <family val="0"/>
    </font>
    <font>
      <b/>
      <sz val="14"/>
      <name val="Arial CE"/>
      <family val="2"/>
    </font>
    <font>
      <sz val="14"/>
      <name val="Arial CE"/>
      <family val="2"/>
    </font>
    <font>
      <b/>
      <sz val="11"/>
      <name val="Arial CE"/>
      <family val="0"/>
    </font>
    <font>
      <b/>
      <sz val="10"/>
      <name val="Arial CE"/>
      <family val="2"/>
    </font>
    <font>
      <sz val="11"/>
      <name val="Arial"/>
      <family val="0"/>
    </font>
    <font>
      <b/>
      <i/>
      <sz val="11"/>
      <name val="Arial CE"/>
      <family val="0"/>
    </font>
    <font>
      <sz val="9"/>
      <name val="Arial CE"/>
      <family val="2"/>
    </font>
    <font>
      <b/>
      <sz val="16"/>
      <name val="Arial CE"/>
      <family val="0"/>
    </font>
    <font>
      <b/>
      <sz val="13"/>
      <name val="Arial CE"/>
      <family val="2"/>
    </font>
    <font>
      <i/>
      <sz val="12"/>
      <name val="Arial CE"/>
      <family val="0"/>
    </font>
    <font>
      <i/>
      <sz val="13"/>
      <name val="Arial CE"/>
      <family val="0"/>
    </font>
    <font>
      <i/>
      <sz val="11"/>
      <name val="Arial CE"/>
      <family val="2"/>
    </font>
    <font>
      <b/>
      <i/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sz val="9"/>
      <name val="Arial CE"/>
      <family val="0"/>
    </font>
    <font>
      <sz val="8"/>
      <name val="Arial CE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04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ck"/>
      <top style="thick"/>
      <bottom style="thick"/>
    </border>
    <border>
      <left>
        <color indexed="63"/>
      </left>
      <right style="medium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ck"/>
      <top style="thin"/>
      <bottom style="double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 style="double"/>
      <bottom style="thick"/>
    </border>
    <border>
      <left>
        <color indexed="63"/>
      </left>
      <right style="thick"/>
      <top style="double"/>
      <bottom style="thick"/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double"/>
      <top style="thick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double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thin"/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thick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/>
    </xf>
    <xf numFmtId="0" fontId="7" fillId="0" borderId="2" xfId="0" applyFont="1" applyBorder="1" applyAlignment="1">
      <alignment/>
    </xf>
    <xf numFmtId="3" fontId="4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5" fillId="0" borderId="3" xfId="0" applyNumberFormat="1" applyFont="1" applyBorder="1" applyAlignment="1">
      <alignment/>
    </xf>
    <xf numFmtId="4" fontId="5" fillId="0" borderId="3" xfId="0" applyNumberFormat="1" applyFont="1" applyBorder="1" applyAlignment="1">
      <alignment/>
    </xf>
    <xf numFmtId="4" fontId="5" fillId="0" borderId="3" xfId="0" applyNumberFormat="1" applyFont="1" applyBorder="1" applyAlignment="1">
      <alignment/>
    </xf>
    <xf numFmtId="0" fontId="6" fillId="0" borderId="4" xfId="0" applyFont="1" applyBorder="1" applyAlignment="1">
      <alignment/>
    </xf>
    <xf numFmtId="3" fontId="5" fillId="0" borderId="5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4" fontId="7" fillId="0" borderId="6" xfId="0" applyNumberFormat="1" applyFont="1" applyBorder="1" applyAlignment="1">
      <alignment/>
    </xf>
    <xf numFmtId="3" fontId="7" fillId="0" borderId="7" xfId="0" applyNumberFormat="1" applyFont="1" applyBorder="1" applyAlignment="1">
      <alignment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3" fontId="6" fillId="0" borderId="9" xfId="0" applyNumberFormat="1" applyFont="1" applyBorder="1" applyAlignment="1">
      <alignment/>
    </xf>
    <xf numFmtId="4" fontId="6" fillId="0" borderId="9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49" fontId="13" fillId="0" borderId="0" xfId="0" applyNumberFormat="1" applyFont="1" applyFill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2" xfId="0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6" fillId="0" borderId="15" xfId="0" applyFont="1" applyBorder="1" applyAlignment="1">
      <alignment/>
    </xf>
    <xf numFmtId="0" fontId="0" fillId="0" borderId="15" xfId="0" applyBorder="1" applyAlignment="1">
      <alignment/>
    </xf>
    <xf numFmtId="0" fontId="6" fillId="0" borderId="16" xfId="0" applyFont="1" applyBorder="1" applyAlignment="1">
      <alignment/>
    </xf>
    <xf numFmtId="0" fontId="6" fillId="0" borderId="2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/>
    </xf>
    <xf numFmtId="0" fontId="15" fillId="0" borderId="19" xfId="0" applyFont="1" applyBorder="1" applyAlignment="1">
      <alignment/>
    </xf>
    <xf numFmtId="3" fontId="16" fillId="0" borderId="20" xfId="0" applyNumberFormat="1" applyFont="1" applyBorder="1" applyAlignment="1">
      <alignment/>
    </xf>
    <xf numFmtId="2" fontId="16" fillId="0" borderId="20" xfId="0" applyNumberFormat="1" applyFont="1" applyBorder="1" applyAlignment="1">
      <alignment/>
    </xf>
    <xf numFmtId="1" fontId="16" fillId="0" borderId="20" xfId="0" applyNumberFormat="1" applyFont="1" applyBorder="1" applyAlignment="1">
      <alignment/>
    </xf>
    <xf numFmtId="0" fontId="16" fillId="0" borderId="20" xfId="0" applyFont="1" applyBorder="1" applyAlignment="1">
      <alignment/>
    </xf>
    <xf numFmtId="4" fontId="16" fillId="0" borderId="20" xfId="0" applyNumberFormat="1" applyFont="1" applyBorder="1" applyAlignment="1">
      <alignment/>
    </xf>
    <xf numFmtId="3" fontId="14" fillId="0" borderId="20" xfId="0" applyNumberFormat="1" applyFont="1" applyBorder="1" applyAlignment="1">
      <alignment/>
    </xf>
    <xf numFmtId="2" fontId="14" fillId="0" borderId="21" xfId="0" applyNumberFormat="1" applyFont="1" applyBorder="1" applyAlignment="1">
      <alignment/>
    </xf>
    <xf numFmtId="0" fontId="15" fillId="0" borderId="22" xfId="0" applyFont="1" applyBorder="1" applyAlignment="1">
      <alignment/>
    </xf>
    <xf numFmtId="3" fontId="16" fillId="0" borderId="23" xfId="0" applyNumberFormat="1" applyFont="1" applyBorder="1" applyAlignment="1">
      <alignment/>
    </xf>
    <xf numFmtId="2" fontId="16" fillId="0" borderId="23" xfId="0" applyNumberFormat="1" applyFont="1" applyBorder="1" applyAlignment="1">
      <alignment/>
    </xf>
    <xf numFmtId="0" fontId="16" fillId="0" borderId="23" xfId="0" applyFont="1" applyBorder="1" applyAlignment="1">
      <alignment/>
    </xf>
    <xf numFmtId="4" fontId="16" fillId="0" borderId="23" xfId="0" applyNumberFormat="1" applyFont="1" applyBorder="1" applyAlignment="1">
      <alignment/>
    </xf>
    <xf numFmtId="3" fontId="14" fillId="0" borderId="23" xfId="0" applyNumberFormat="1" applyFont="1" applyBorder="1" applyAlignment="1">
      <alignment/>
    </xf>
    <xf numFmtId="2" fontId="14" fillId="0" borderId="24" xfId="0" applyNumberFormat="1" applyFont="1" applyBorder="1" applyAlignment="1">
      <alignment/>
    </xf>
    <xf numFmtId="0" fontId="15" fillId="0" borderId="25" xfId="0" applyFont="1" applyBorder="1" applyAlignment="1">
      <alignment/>
    </xf>
    <xf numFmtId="3" fontId="17" fillId="0" borderId="6" xfId="0" applyNumberFormat="1" applyFont="1" applyBorder="1" applyAlignment="1">
      <alignment/>
    </xf>
    <xf numFmtId="4" fontId="17" fillId="0" borderId="6" xfId="0" applyNumberFormat="1" applyFont="1" applyBorder="1" applyAlignment="1">
      <alignment/>
    </xf>
    <xf numFmtId="4" fontId="17" fillId="0" borderId="7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26" xfId="0" applyFont="1" applyBorder="1" applyAlignment="1">
      <alignment/>
    </xf>
    <xf numFmtId="0" fontId="4" fillId="0" borderId="26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4" fillId="0" borderId="2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15" xfId="0" applyFont="1" applyBorder="1" applyAlignment="1">
      <alignment/>
    </xf>
    <xf numFmtId="0" fontId="6" fillId="0" borderId="27" xfId="0" applyFont="1" applyBorder="1" applyAlignment="1">
      <alignment/>
    </xf>
    <xf numFmtId="0" fontId="5" fillId="0" borderId="28" xfId="0" applyFont="1" applyBorder="1" applyAlignment="1">
      <alignment/>
    </xf>
    <xf numFmtId="3" fontId="5" fillId="0" borderId="28" xfId="0" applyNumberFormat="1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5" xfId="0" applyFont="1" applyBorder="1" applyAlignment="1">
      <alignment/>
    </xf>
    <xf numFmtId="0" fontId="6" fillId="0" borderId="30" xfId="0" applyFont="1" applyBorder="1" applyAlignment="1">
      <alignment/>
    </xf>
    <xf numFmtId="3" fontId="6" fillId="0" borderId="31" xfId="0" applyNumberFormat="1" applyFont="1" applyBorder="1" applyAlignment="1">
      <alignment/>
    </xf>
    <xf numFmtId="3" fontId="6" fillId="0" borderId="32" xfId="0" applyNumberFormat="1" applyFont="1" applyBorder="1" applyAlignment="1">
      <alignment/>
    </xf>
    <xf numFmtId="0" fontId="1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6" fillId="0" borderId="2" xfId="0" applyFont="1" applyBorder="1" applyAlignment="1">
      <alignment vertical="top"/>
    </xf>
    <xf numFmtId="0" fontId="5" fillId="0" borderId="11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6" fillId="0" borderId="33" xfId="0" applyFont="1" applyBorder="1" applyAlignment="1">
      <alignment/>
    </xf>
    <xf numFmtId="3" fontId="5" fillId="0" borderId="34" xfId="0" applyNumberFormat="1" applyFont="1" applyBorder="1" applyAlignment="1">
      <alignment/>
    </xf>
    <xf numFmtId="3" fontId="20" fillId="0" borderId="34" xfId="0" applyNumberFormat="1" applyFont="1" applyBorder="1" applyAlignment="1">
      <alignment/>
    </xf>
    <xf numFmtId="4" fontId="21" fillId="0" borderId="34" xfId="0" applyNumberFormat="1" applyFont="1" applyBorder="1" applyAlignment="1">
      <alignment/>
    </xf>
    <xf numFmtId="2" fontId="21" fillId="0" borderId="35" xfId="0" applyNumberFormat="1" applyFont="1" applyBorder="1" applyAlignment="1">
      <alignment/>
    </xf>
    <xf numFmtId="0" fontId="12" fillId="0" borderId="30" xfId="0" applyFont="1" applyBorder="1" applyAlignment="1">
      <alignment/>
    </xf>
    <xf numFmtId="3" fontId="20" fillId="0" borderId="36" xfId="0" applyNumberFormat="1" applyFont="1" applyBorder="1" applyAlignment="1">
      <alignment/>
    </xf>
    <xf numFmtId="4" fontId="22" fillId="0" borderId="36" xfId="0" applyNumberFormat="1" applyFont="1" applyBorder="1" applyAlignment="1">
      <alignment/>
    </xf>
    <xf numFmtId="2" fontId="21" fillId="0" borderId="37" xfId="0" applyNumberFormat="1" applyFont="1" applyBorder="1" applyAlignment="1">
      <alignment/>
    </xf>
    <xf numFmtId="0" fontId="5" fillId="0" borderId="0" xfId="0" applyFont="1" applyAlignment="1">
      <alignment/>
    </xf>
    <xf numFmtId="0" fontId="19" fillId="0" borderId="0" xfId="0" applyFont="1" applyAlignment="1">
      <alignment/>
    </xf>
    <xf numFmtId="0" fontId="6" fillId="0" borderId="38" xfId="0" applyFont="1" applyBorder="1" applyAlignment="1">
      <alignment horizontal="center"/>
    </xf>
    <xf numFmtId="0" fontId="15" fillId="0" borderId="39" xfId="0" applyFont="1" applyBorder="1" applyAlignment="1">
      <alignment horizontal="center" wrapText="1"/>
    </xf>
    <xf numFmtId="0" fontId="12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6" fillId="0" borderId="43" xfId="0" applyFont="1" applyBorder="1" applyAlignment="1">
      <alignment/>
    </xf>
    <xf numFmtId="0" fontId="15" fillId="0" borderId="44" xfId="0" applyFont="1" applyBorder="1" applyAlignment="1">
      <alignment horizontal="center"/>
    </xf>
    <xf numFmtId="0" fontId="6" fillId="0" borderId="45" xfId="0" applyFont="1" applyBorder="1" applyAlignment="1">
      <alignment/>
    </xf>
    <xf numFmtId="0" fontId="5" fillId="0" borderId="46" xfId="0" applyFont="1" applyBorder="1" applyAlignment="1">
      <alignment/>
    </xf>
    <xf numFmtId="0" fontId="5" fillId="0" borderId="47" xfId="0" applyFont="1" applyBorder="1" applyAlignment="1">
      <alignment/>
    </xf>
    <xf numFmtId="0" fontId="5" fillId="0" borderId="48" xfId="0" applyFont="1" applyBorder="1" applyAlignment="1">
      <alignment/>
    </xf>
    <xf numFmtId="0" fontId="5" fillId="0" borderId="49" xfId="0" applyFont="1" applyBorder="1" applyAlignment="1">
      <alignment/>
    </xf>
    <xf numFmtId="0" fontId="15" fillId="0" borderId="50" xfId="0" applyFont="1" applyBorder="1" applyAlignment="1">
      <alignment horizontal="center"/>
    </xf>
    <xf numFmtId="0" fontId="18" fillId="0" borderId="51" xfId="0" applyFont="1" applyBorder="1" applyAlignment="1">
      <alignment horizontal="center"/>
    </xf>
    <xf numFmtId="0" fontId="18" fillId="0" borderId="51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3" fontId="23" fillId="0" borderId="34" xfId="0" applyNumberFormat="1" applyFont="1" applyBorder="1" applyAlignment="1">
      <alignment/>
    </xf>
    <xf numFmtId="3" fontId="17" fillId="0" borderId="34" xfId="0" applyNumberFormat="1" applyFont="1" applyBorder="1" applyAlignment="1">
      <alignment/>
    </xf>
    <xf numFmtId="4" fontId="23" fillId="0" borderId="34" xfId="0" applyNumberFormat="1" applyFont="1" applyBorder="1" applyAlignment="1">
      <alignment/>
    </xf>
    <xf numFmtId="2" fontId="23" fillId="0" borderId="35" xfId="0" applyNumberFormat="1" applyFont="1" applyBorder="1" applyAlignment="1">
      <alignment/>
    </xf>
    <xf numFmtId="3" fontId="6" fillId="0" borderId="36" xfId="0" applyNumberFormat="1" applyFont="1" applyBorder="1" applyAlignment="1">
      <alignment/>
    </xf>
    <xf numFmtId="4" fontId="6" fillId="0" borderId="36" xfId="0" applyNumberFormat="1" applyFont="1" applyBorder="1" applyAlignment="1">
      <alignment/>
    </xf>
    <xf numFmtId="2" fontId="6" fillId="0" borderId="37" xfId="0" applyNumberFormat="1" applyFont="1" applyBorder="1" applyAlignment="1">
      <alignment/>
    </xf>
    <xf numFmtId="0" fontId="6" fillId="0" borderId="38" xfId="0" applyFont="1" applyBorder="1" applyAlignment="1">
      <alignment/>
    </xf>
    <xf numFmtId="0" fontId="0" fillId="0" borderId="40" xfId="0" applyBorder="1" applyAlignment="1">
      <alignment/>
    </xf>
    <xf numFmtId="0" fontId="6" fillId="0" borderId="41" xfId="0" applyFont="1" applyBorder="1" applyAlignment="1">
      <alignment vertical="center"/>
    </xf>
    <xf numFmtId="0" fontId="5" fillId="0" borderId="53" xfId="0" applyFont="1" applyBorder="1" applyAlignment="1">
      <alignment/>
    </xf>
    <xf numFmtId="0" fontId="4" fillId="0" borderId="44" xfId="0" applyFont="1" applyBorder="1" applyAlignment="1">
      <alignment horizontal="center" wrapText="1"/>
    </xf>
    <xf numFmtId="0" fontId="4" fillId="0" borderId="54" xfId="0" applyFont="1" applyBorder="1" applyAlignment="1">
      <alignment horizontal="center" wrapText="1"/>
    </xf>
    <xf numFmtId="0" fontId="4" fillId="0" borderId="45" xfId="0" applyFont="1" applyBorder="1" applyAlignment="1">
      <alignment horizontal="left"/>
    </xf>
    <xf numFmtId="0" fontId="5" fillId="0" borderId="46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3" fontId="7" fillId="0" borderId="3" xfId="0" applyNumberFormat="1" applyFont="1" applyBorder="1" applyAlignment="1">
      <alignment/>
    </xf>
    <xf numFmtId="2" fontId="24" fillId="0" borderId="55" xfId="0" applyNumberFormat="1" applyFont="1" applyBorder="1" applyAlignment="1">
      <alignment/>
    </xf>
    <xf numFmtId="3" fontId="7" fillId="0" borderId="3" xfId="0" applyNumberFormat="1" applyFont="1" applyBorder="1" applyAlignment="1">
      <alignment horizontal="right"/>
    </xf>
    <xf numFmtId="2" fontId="24" fillId="0" borderId="56" xfId="0" applyNumberFormat="1" applyFont="1" applyBorder="1" applyAlignment="1">
      <alignment/>
    </xf>
    <xf numFmtId="2" fontId="24" fillId="0" borderId="56" xfId="0" applyNumberFormat="1" applyFont="1" applyBorder="1" applyAlignment="1">
      <alignment horizontal="right"/>
    </xf>
    <xf numFmtId="0" fontId="25" fillId="0" borderId="4" xfId="0" applyFont="1" applyBorder="1" applyAlignment="1">
      <alignment/>
    </xf>
    <xf numFmtId="3" fontId="24" fillId="0" borderId="3" xfId="0" applyNumberFormat="1" applyFont="1" applyBorder="1" applyAlignment="1">
      <alignment horizontal="right"/>
    </xf>
    <xf numFmtId="2" fontId="24" fillId="0" borderId="57" xfId="0" applyNumberFormat="1" applyFont="1" applyBorder="1" applyAlignment="1">
      <alignment horizontal="right"/>
    </xf>
    <xf numFmtId="0" fontId="25" fillId="0" borderId="30" xfId="0" applyFont="1" applyBorder="1" applyAlignment="1">
      <alignment/>
    </xf>
    <xf numFmtId="3" fontId="25" fillId="0" borderId="31" xfId="0" applyNumberFormat="1" applyFont="1" applyBorder="1" applyAlignment="1">
      <alignment horizontal="right"/>
    </xf>
    <xf numFmtId="2" fontId="24" fillId="0" borderId="58" xfId="0" applyNumberFormat="1" applyFont="1" applyBorder="1" applyAlignment="1">
      <alignment horizontal="right"/>
    </xf>
    <xf numFmtId="0" fontId="25" fillId="0" borderId="59" xfId="0" applyFont="1" applyBorder="1" applyAlignment="1">
      <alignment/>
    </xf>
    <xf numFmtId="3" fontId="26" fillId="0" borderId="59" xfId="0" applyNumberFormat="1" applyFont="1" applyBorder="1" applyAlignment="1">
      <alignment/>
    </xf>
    <xf numFmtId="2" fontId="26" fillId="0" borderId="59" xfId="0" applyNumberFormat="1" applyFont="1" applyBorder="1" applyAlignment="1">
      <alignment/>
    </xf>
    <xf numFmtId="0" fontId="19" fillId="0" borderId="0" xfId="0" applyFont="1" applyAlignment="1">
      <alignment/>
    </xf>
    <xf numFmtId="3" fontId="23" fillId="0" borderId="34" xfId="0" applyNumberFormat="1" applyFont="1" applyBorder="1" applyAlignment="1" applyProtection="1">
      <alignment/>
      <protection locked="0"/>
    </xf>
    <xf numFmtId="3" fontId="23" fillId="0" borderId="60" xfId="0" applyNumberFormat="1" applyFont="1" applyBorder="1" applyAlignment="1">
      <alignment/>
    </xf>
    <xf numFmtId="3" fontId="25" fillId="0" borderId="61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3" fontId="5" fillId="0" borderId="0" xfId="0" applyNumberFormat="1" applyFont="1" applyAlignment="1">
      <alignment/>
    </xf>
    <xf numFmtId="0" fontId="20" fillId="0" borderId="0" xfId="0" applyFont="1" applyAlignment="1">
      <alignment/>
    </xf>
    <xf numFmtId="0" fontId="27" fillId="0" borderId="1" xfId="0" applyFont="1" applyBorder="1" applyAlignment="1">
      <alignment horizontal="center"/>
    </xf>
    <xf numFmtId="0" fontId="5" fillId="0" borderId="62" xfId="0" applyFont="1" applyBorder="1" applyAlignment="1">
      <alignment/>
    </xf>
    <xf numFmtId="0" fontId="5" fillId="0" borderId="63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7" fillId="0" borderId="2" xfId="0" applyFont="1" applyBorder="1" applyAlignment="1">
      <alignment horizontal="center"/>
    </xf>
    <xf numFmtId="0" fontId="18" fillId="0" borderId="64" xfId="0" applyFont="1" applyBorder="1" applyAlignment="1">
      <alignment horizontal="center"/>
    </xf>
    <xf numFmtId="0" fontId="18" fillId="0" borderId="65" xfId="0" applyFont="1" applyBorder="1" applyAlignment="1">
      <alignment horizontal="center"/>
    </xf>
    <xf numFmtId="0" fontId="28" fillId="0" borderId="64" xfId="0" applyFont="1" applyBorder="1" applyAlignment="1">
      <alignment horizontal="center"/>
    </xf>
    <xf numFmtId="0" fontId="28" fillId="0" borderId="65" xfId="0" applyFont="1" applyBorder="1" applyAlignment="1">
      <alignment horizontal="center"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center"/>
    </xf>
    <xf numFmtId="0" fontId="5" fillId="0" borderId="66" xfId="0" applyFont="1" applyBorder="1" applyAlignment="1">
      <alignment/>
    </xf>
    <xf numFmtId="0" fontId="5" fillId="0" borderId="67" xfId="0" applyFont="1" applyBorder="1" applyAlignment="1">
      <alignment/>
    </xf>
    <xf numFmtId="0" fontId="5" fillId="0" borderId="68" xfId="0" applyFont="1" applyBorder="1" applyAlignment="1">
      <alignment/>
    </xf>
    <xf numFmtId="0" fontId="5" fillId="0" borderId="69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6" fillId="0" borderId="70" xfId="0" applyFont="1" applyBorder="1" applyAlignment="1">
      <alignment/>
    </xf>
    <xf numFmtId="0" fontId="5" fillId="0" borderId="60" xfId="0" applyFont="1" applyBorder="1" applyAlignment="1">
      <alignment/>
    </xf>
    <xf numFmtId="0" fontId="5" fillId="0" borderId="71" xfId="0" applyFont="1" applyBorder="1" applyAlignment="1">
      <alignment/>
    </xf>
    <xf numFmtId="0" fontId="5" fillId="0" borderId="72" xfId="0" applyFont="1" applyBorder="1" applyAlignment="1">
      <alignment/>
    </xf>
    <xf numFmtId="0" fontId="6" fillId="0" borderId="73" xfId="0" applyFont="1" applyBorder="1" applyAlignment="1">
      <alignment/>
    </xf>
    <xf numFmtId="0" fontId="5" fillId="0" borderId="74" xfId="0" applyFont="1" applyBorder="1" applyAlignment="1">
      <alignment/>
    </xf>
    <xf numFmtId="0" fontId="5" fillId="0" borderId="75" xfId="0" applyFont="1" applyBorder="1" applyAlignment="1">
      <alignment/>
    </xf>
    <xf numFmtId="0" fontId="5" fillId="0" borderId="76" xfId="0" applyFont="1" applyBorder="1" applyAlignment="1">
      <alignment/>
    </xf>
    <xf numFmtId="0" fontId="7" fillId="0" borderId="73" xfId="0" applyFont="1" applyBorder="1" applyAlignment="1">
      <alignment/>
    </xf>
    <xf numFmtId="3" fontId="7" fillId="0" borderId="74" xfId="0" applyNumberFormat="1" applyFont="1" applyBorder="1" applyAlignment="1">
      <alignment/>
    </xf>
    <xf numFmtId="0" fontId="7" fillId="0" borderId="75" xfId="0" applyFont="1" applyBorder="1" applyAlignment="1">
      <alignment/>
    </xf>
    <xf numFmtId="0" fontId="7" fillId="0" borderId="74" xfId="0" applyFont="1" applyBorder="1" applyAlignment="1">
      <alignment/>
    </xf>
    <xf numFmtId="0" fontId="7" fillId="0" borderId="76" xfId="0" applyFont="1" applyBorder="1" applyAlignment="1">
      <alignment/>
    </xf>
    <xf numFmtId="0" fontId="5" fillId="0" borderId="33" xfId="0" applyFont="1" applyBorder="1" applyAlignment="1">
      <alignment/>
    </xf>
    <xf numFmtId="3" fontId="5" fillId="0" borderId="68" xfId="0" applyNumberFormat="1" applyFont="1" applyBorder="1" applyAlignment="1">
      <alignment/>
    </xf>
    <xf numFmtId="0" fontId="29" fillId="0" borderId="34" xfId="0" applyFont="1" applyBorder="1" applyAlignment="1">
      <alignment/>
    </xf>
    <xf numFmtId="0" fontId="29" fillId="0" borderId="35" xfId="0" applyFont="1" applyBorder="1" applyAlignment="1">
      <alignment/>
    </xf>
    <xf numFmtId="0" fontId="7" fillId="0" borderId="30" xfId="0" applyFont="1" applyBorder="1" applyAlignment="1">
      <alignment/>
    </xf>
    <xf numFmtId="1" fontId="7" fillId="0" borderId="36" xfId="0" applyNumberFormat="1" applyFont="1" applyBorder="1" applyAlignment="1">
      <alignment/>
    </xf>
    <xf numFmtId="1" fontId="7" fillId="0" borderId="77" xfId="0" applyNumberFormat="1" applyFont="1" applyBorder="1" applyAlignment="1">
      <alignment/>
    </xf>
    <xf numFmtId="1" fontId="7" fillId="0" borderId="37" xfId="0" applyNumberFormat="1" applyFont="1" applyBorder="1" applyAlignment="1">
      <alignment/>
    </xf>
    <xf numFmtId="0" fontId="2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2" xfId="0" applyFont="1" applyBorder="1" applyAlignment="1">
      <alignment/>
    </xf>
    <xf numFmtId="0" fontId="5" fillId="0" borderId="78" xfId="0" applyFont="1" applyBorder="1" applyAlignment="1">
      <alignment/>
    </xf>
    <xf numFmtId="0" fontId="29" fillId="0" borderId="66" xfId="0" applyFont="1" applyBorder="1" applyAlignment="1">
      <alignment/>
    </xf>
    <xf numFmtId="0" fontId="29" fillId="0" borderId="69" xfId="0" applyFont="1" applyBorder="1" applyAlignment="1">
      <alignment/>
    </xf>
    <xf numFmtId="0" fontId="29" fillId="0" borderId="74" xfId="0" applyFont="1" applyBorder="1" applyAlignment="1">
      <alignment/>
    </xf>
    <xf numFmtId="0" fontId="29" fillId="0" borderId="76" xfId="0" applyFont="1" applyBorder="1" applyAlignment="1">
      <alignment/>
    </xf>
    <xf numFmtId="0" fontId="6" fillId="0" borderId="51" xfId="0" applyFont="1" applyBorder="1" applyAlignment="1">
      <alignment/>
    </xf>
    <xf numFmtId="0" fontId="6" fillId="0" borderId="51" xfId="0" applyFont="1" applyBorder="1" applyAlignment="1">
      <alignment vertical="center"/>
    </xf>
    <xf numFmtId="0" fontId="6" fillId="0" borderId="51" xfId="0" applyFont="1" applyBorder="1" applyAlignment="1">
      <alignment/>
    </xf>
    <xf numFmtId="0" fontId="15" fillId="0" borderId="51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wrapText="1"/>
    </xf>
    <xf numFmtId="0" fontId="9" fillId="0" borderId="79" xfId="0" applyFont="1" applyBorder="1" applyAlignment="1">
      <alignment/>
    </xf>
    <xf numFmtId="3" fontId="6" fillId="0" borderId="79" xfId="0" applyNumberFormat="1" applyFont="1" applyBorder="1" applyAlignment="1">
      <alignment/>
    </xf>
    <xf numFmtId="3" fontId="7" fillId="0" borderId="80" xfId="0" applyNumberFormat="1" applyFont="1" applyBorder="1" applyAlignment="1">
      <alignment/>
    </xf>
    <xf numFmtId="3" fontId="6" fillId="0" borderId="79" xfId="0" applyNumberFormat="1" applyFont="1" applyBorder="1" applyAlignment="1">
      <alignment/>
    </xf>
    <xf numFmtId="3" fontId="6" fillId="0" borderId="80" xfId="0" applyNumberFormat="1" applyFont="1" applyBorder="1" applyAlignment="1">
      <alignment/>
    </xf>
    <xf numFmtId="0" fontId="9" fillId="0" borderId="81" xfId="0" applyFont="1" applyBorder="1" applyAlignment="1">
      <alignment/>
    </xf>
    <xf numFmtId="3" fontId="6" fillId="0" borderId="81" xfId="0" applyNumberFormat="1" applyFont="1" applyBorder="1" applyAlignment="1">
      <alignment/>
    </xf>
    <xf numFmtId="3" fontId="7" fillId="0" borderId="82" xfId="0" applyNumberFormat="1" applyFont="1" applyBorder="1" applyAlignment="1">
      <alignment/>
    </xf>
    <xf numFmtId="3" fontId="6" fillId="0" borderId="83" xfId="0" applyNumberFormat="1" applyFont="1" applyBorder="1" applyAlignment="1">
      <alignment/>
    </xf>
    <xf numFmtId="3" fontId="6" fillId="0" borderId="84" xfId="0" applyNumberFormat="1" applyFont="1" applyBorder="1" applyAlignment="1">
      <alignment/>
    </xf>
    <xf numFmtId="3" fontId="6" fillId="0" borderId="85" xfId="0" applyNumberFormat="1" applyFont="1" applyBorder="1" applyAlignment="1">
      <alignment/>
    </xf>
    <xf numFmtId="3" fontId="6" fillId="0" borderId="86" xfId="0" applyNumberFormat="1" applyFont="1" applyBorder="1" applyAlignment="1">
      <alignment/>
    </xf>
    <xf numFmtId="0" fontId="9" fillId="0" borderId="87" xfId="0" applyFont="1" applyBorder="1" applyAlignment="1">
      <alignment/>
    </xf>
    <xf numFmtId="3" fontId="6" fillId="0" borderId="87" xfId="0" applyNumberFormat="1" applyFont="1" applyBorder="1" applyAlignment="1">
      <alignment/>
    </xf>
    <xf numFmtId="3" fontId="6" fillId="0" borderId="51" xfId="0" applyNumberFormat="1" applyFont="1" applyBorder="1" applyAlignment="1">
      <alignment/>
    </xf>
    <xf numFmtId="3" fontId="6" fillId="0" borderId="82" xfId="0" applyNumberFormat="1" applyFont="1" applyBorder="1" applyAlignment="1">
      <alignment/>
    </xf>
    <xf numFmtId="0" fontId="6" fillId="0" borderId="83" xfId="0" applyFont="1" applyBorder="1" applyAlignment="1">
      <alignment/>
    </xf>
    <xf numFmtId="0" fontId="6" fillId="0" borderId="84" xfId="0" applyFont="1" applyBorder="1" applyAlignment="1">
      <alignment/>
    </xf>
    <xf numFmtId="0" fontId="9" fillId="0" borderId="88" xfId="0" applyFont="1" applyBorder="1" applyAlignment="1">
      <alignment/>
    </xf>
    <xf numFmtId="3" fontId="6" fillId="0" borderId="88" xfId="0" applyNumberFormat="1" applyFont="1" applyBorder="1" applyAlignment="1">
      <alignment/>
    </xf>
    <xf numFmtId="3" fontId="6" fillId="0" borderId="44" xfId="0" applyNumberFormat="1" applyFont="1" applyBorder="1" applyAlignment="1">
      <alignment/>
    </xf>
    <xf numFmtId="0" fontId="6" fillId="0" borderId="89" xfId="0" applyFont="1" applyBorder="1" applyAlignment="1">
      <alignment/>
    </xf>
    <xf numFmtId="0" fontId="6" fillId="0" borderId="90" xfId="0" applyFont="1" applyBorder="1" applyAlignment="1">
      <alignment/>
    </xf>
    <xf numFmtId="3" fontId="6" fillId="0" borderId="81" xfId="0" applyNumberFormat="1" applyFont="1" applyBorder="1" applyAlignment="1">
      <alignment horizontal="right"/>
    </xf>
    <xf numFmtId="0" fontId="6" fillId="0" borderId="81" xfId="0" applyFont="1" applyBorder="1" applyAlignment="1">
      <alignment horizontal="right"/>
    </xf>
    <xf numFmtId="0" fontId="6" fillId="0" borderId="82" xfId="0" applyFont="1" applyBorder="1" applyAlignment="1">
      <alignment/>
    </xf>
    <xf numFmtId="0" fontId="6" fillId="0" borderId="83" xfId="0" applyFont="1" applyBorder="1" applyAlignment="1">
      <alignment horizontal="right"/>
    </xf>
    <xf numFmtId="0" fontId="6" fillId="0" borderId="85" xfId="0" applyFont="1" applyBorder="1" applyAlignment="1">
      <alignment/>
    </xf>
    <xf numFmtId="0" fontId="6" fillId="0" borderId="86" xfId="0" applyFont="1" applyBorder="1" applyAlignment="1">
      <alignment/>
    </xf>
    <xf numFmtId="0" fontId="9" fillId="0" borderId="91" xfId="0" applyFont="1" applyBorder="1" applyAlignment="1">
      <alignment/>
    </xf>
    <xf numFmtId="3" fontId="6" fillId="0" borderId="91" xfId="0" applyNumberFormat="1" applyFont="1" applyBorder="1" applyAlignment="1">
      <alignment/>
    </xf>
    <xf numFmtId="3" fontId="6" fillId="0" borderId="54" xfId="0" applyNumberFormat="1" applyFont="1" applyBorder="1" applyAlignment="1">
      <alignment/>
    </xf>
    <xf numFmtId="2" fontId="6" fillId="0" borderId="88" xfId="0" applyNumberFormat="1" applyFont="1" applyBorder="1" applyAlignment="1">
      <alignment/>
    </xf>
    <xf numFmtId="3" fontId="6" fillId="0" borderId="88" xfId="0" applyNumberFormat="1" applyFont="1" applyBorder="1" applyAlignment="1">
      <alignment/>
    </xf>
    <xf numFmtId="3" fontId="6" fillId="0" borderId="92" xfId="0" applyNumberFormat="1" applyFont="1" applyBorder="1" applyAlignment="1">
      <alignment/>
    </xf>
    <xf numFmtId="3" fontId="6" fillId="0" borderId="93" xfId="0" applyNumberFormat="1" applyFont="1" applyBorder="1" applyAlignment="1">
      <alignment/>
    </xf>
    <xf numFmtId="0" fontId="9" fillId="0" borderId="94" xfId="0" applyFont="1" applyBorder="1" applyAlignment="1">
      <alignment/>
    </xf>
    <xf numFmtId="3" fontId="6" fillId="0" borderId="94" xfId="0" applyNumberFormat="1" applyFont="1" applyBorder="1" applyAlignment="1">
      <alignment/>
    </xf>
    <xf numFmtId="3" fontId="6" fillId="0" borderId="95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97" xfId="0" applyFont="1" applyBorder="1" applyAlignment="1">
      <alignment/>
    </xf>
    <xf numFmtId="2" fontId="5" fillId="0" borderId="66" xfId="0" applyNumberFormat="1" applyFont="1" applyBorder="1" applyAlignment="1">
      <alignment/>
    </xf>
    <xf numFmtId="2" fontId="5" fillId="0" borderId="34" xfId="0" applyNumberFormat="1" applyFont="1" applyBorder="1" applyAlignment="1">
      <alignment/>
    </xf>
    <xf numFmtId="0" fontId="6" fillId="0" borderId="98" xfId="0" applyFont="1" applyBorder="1" applyAlignment="1">
      <alignment/>
    </xf>
    <xf numFmtId="3" fontId="6" fillId="0" borderId="99" xfId="0" applyNumberFormat="1" applyFont="1" applyBorder="1" applyAlignment="1">
      <alignment/>
    </xf>
    <xf numFmtId="2" fontId="6" fillId="0" borderId="99" xfId="0" applyNumberFormat="1" applyFont="1" applyBorder="1" applyAlignment="1">
      <alignment/>
    </xf>
    <xf numFmtId="0" fontId="6" fillId="0" borderId="99" xfId="0" applyFont="1" applyBorder="1" applyAlignment="1">
      <alignment/>
    </xf>
    <xf numFmtId="0" fontId="6" fillId="0" borderId="100" xfId="0" applyFont="1" applyBorder="1" applyAlignment="1">
      <alignment/>
    </xf>
    <xf numFmtId="0" fontId="6" fillId="0" borderId="101" xfId="0" applyFont="1" applyBorder="1" applyAlignment="1">
      <alignment/>
    </xf>
    <xf numFmtId="3" fontId="5" fillId="0" borderId="102" xfId="0" applyNumberFormat="1" applyFont="1" applyBorder="1" applyAlignment="1">
      <alignment/>
    </xf>
    <xf numFmtId="0" fontId="5" fillId="0" borderId="102" xfId="0" applyFont="1" applyBorder="1" applyAlignment="1">
      <alignment/>
    </xf>
    <xf numFmtId="0" fontId="5" fillId="0" borderId="10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R40"/>
  <sheetViews>
    <sheetView workbookViewId="0" topLeftCell="A4">
      <selection activeCell="H7" sqref="H7"/>
    </sheetView>
  </sheetViews>
  <sheetFormatPr defaultColWidth="9.140625" defaultRowHeight="12.75"/>
  <cols>
    <col min="1" max="1" width="23.00390625" style="0" customWidth="1"/>
    <col min="2" max="2" width="13.421875" style="0" customWidth="1"/>
    <col min="3" max="3" width="12.140625" style="0" customWidth="1"/>
    <col min="4" max="4" width="12.8515625" style="0" customWidth="1"/>
    <col min="5" max="5" width="12.57421875" style="0" customWidth="1"/>
    <col min="6" max="6" width="12.8515625" style="0" customWidth="1"/>
    <col min="7" max="7" width="14.7109375" style="0" customWidth="1"/>
    <col min="8" max="8" width="14.57421875" style="0" customWidth="1"/>
  </cols>
  <sheetData>
    <row r="3" ht="18">
      <c r="B3" s="23" t="s">
        <v>17</v>
      </c>
    </row>
    <row r="5" ht="31.5" customHeight="1" thickBot="1">
      <c r="A5" s="19" t="s">
        <v>0</v>
      </c>
    </row>
    <row r="6" spans="1:44" ht="52.5" thickBot="1" thickTop="1">
      <c r="A6" s="16" t="s">
        <v>1</v>
      </c>
      <c r="B6" s="17" t="s">
        <v>2</v>
      </c>
      <c r="C6" s="17" t="s">
        <v>3</v>
      </c>
      <c r="D6" s="17" t="s">
        <v>4</v>
      </c>
      <c r="E6" s="17" t="s">
        <v>5</v>
      </c>
      <c r="F6" s="17" t="s">
        <v>6</v>
      </c>
      <c r="G6" s="17" t="s">
        <v>7</v>
      </c>
      <c r="H6" s="18" t="s">
        <v>8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31" ht="24.75" customHeight="1" thickTop="1">
      <c r="A7" s="10" t="s">
        <v>9</v>
      </c>
      <c r="B7" s="7">
        <v>3595</v>
      </c>
      <c r="C7" s="7">
        <v>2675</v>
      </c>
      <c r="D7" s="7">
        <v>536</v>
      </c>
      <c r="E7" s="8">
        <f aca="true" t="shared" si="0" ref="E7:E15">D7/C7*100</f>
        <v>20.037383177570092</v>
      </c>
      <c r="F7" s="9">
        <v>9.7</v>
      </c>
      <c r="G7" s="7">
        <f>4386948+46724666</f>
        <v>51111614</v>
      </c>
      <c r="H7" s="11">
        <f>3204+82</f>
        <v>3286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1"/>
      <c r="AC7" s="1"/>
      <c r="AD7" s="1"/>
      <c r="AE7" s="1"/>
    </row>
    <row r="8" spans="1:31" ht="24.75" customHeight="1">
      <c r="A8" s="10" t="s">
        <v>10</v>
      </c>
      <c r="B8" s="7">
        <v>2676</v>
      </c>
      <c r="C8" s="7">
        <v>1966</v>
      </c>
      <c r="D8" s="7">
        <v>513</v>
      </c>
      <c r="E8" s="8">
        <f t="shared" si="0"/>
        <v>26.09359104781282</v>
      </c>
      <c r="F8" s="9">
        <v>4.1</v>
      </c>
      <c r="G8" s="7">
        <f>6513258+31157631</f>
        <v>37670889</v>
      </c>
      <c r="H8" s="11">
        <f>4313+820</f>
        <v>5133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1"/>
      <c r="AC8" s="1"/>
      <c r="AD8" s="1"/>
      <c r="AE8" s="1"/>
    </row>
    <row r="9" spans="1:31" ht="24.75" customHeight="1">
      <c r="A9" s="10" t="s">
        <v>11</v>
      </c>
      <c r="B9" s="7">
        <v>2756</v>
      </c>
      <c r="C9" s="7">
        <v>1777</v>
      </c>
      <c r="D9" s="7">
        <v>795</v>
      </c>
      <c r="E9" s="8">
        <f t="shared" si="0"/>
        <v>44.73832301631964</v>
      </c>
      <c r="F9" s="9">
        <v>5.4</v>
      </c>
      <c r="G9" s="7">
        <f>7662169+26173914</f>
        <v>33836083</v>
      </c>
      <c r="H9" s="11">
        <f>14649+17157</f>
        <v>31806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1"/>
      <c r="AC9" s="1"/>
      <c r="AD9" s="1"/>
      <c r="AE9" s="1"/>
    </row>
    <row r="10" spans="1:31" ht="24.75" customHeight="1">
      <c r="A10" s="10" t="s">
        <v>12</v>
      </c>
      <c r="B10" s="7">
        <v>3523</v>
      </c>
      <c r="C10" s="7">
        <v>2402</v>
      </c>
      <c r="D10" s="7">
        <v>813</v>
      </c>
      <c r="E10" s="8">
        <f t="shared" si="0"/>
        <v>33.84679433805162</v>
      </c>
      <c r="F10" s="9">
        <v>6.4</v>
      </c>
      <c r="G10" s="7">
        <f>13391953+52843399</f>
        <v>66235352</v>
      </c>
      <c r="H10" s="11">
        <f>20894+3742</f>
        <v>24636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1"/>
      <c r="AC10" s="1"/>
      <c r="AD10" s="1"/>
      <c r="AE10" s="1"/>
    </row>
    <row r="11" spans="1:31" ht="24.75" customHeight="1">
      <c r="A11" s="10" t="s">
        <v>13</v>
      </c>
      <c r="B11" s="7">
        <v>3661</v>
      </c>
      <c r="C11" s="7">
        <v>2292</v>
      </c>
      <c r="D11" s="7">
        <v>1558</v>
      </c>
      <c r="E11" s="8">
        <f t="shared" si="0"/>
        <v>67.97556719022687</v>
      </c>
      <c r="F11" s="9">
        <v>5.8</v>
      </c>
      <c r="G11" s="7">
        <f>24248784+73763009</f>
        <v>98011793</v>
      </c>
      <c r="H11" s="11">
        <f>32386+2993</f>
        <v>35379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1"/>
      <c r="AC11" s="1"/>
      <c r="AD11" s="1"/>
      <c r="AE11" s="1"/>
    </row>
    <row r="12" spans="1:31" ht="24.75" customHeight="1">
      <c r="A12" s="10" t="s">
        <v>14</v>
      </c>
      <c r="B12" s="7">
        <v>2715</v>
      </c>
      <c r="C12" s="7">
        <v>1688</v>
      </c>
      <c r="D12" s="7">
        <v>965</v>
      </c>
      <c r="E12" s="8">
        <f t="shared" si="0"/>
        <v>57.16824644549763</v>
      </c>
      <c r="F12" s="9">
        <v>4.2</v>
      </c>
      <c r="G12" s="7">
        <f>45447558+27877219</f>
        <v>73324777</v>
      </c>
      <c r="H12" s="11">
        <f>69693+11282</f>
        <v>80975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1"/>
      <c r="AC12" s="1"/>
      <c r="AD12" s="1"/>
      <c r="AE12" s="1"/>
    </row>
    <row r="13" spans="1:31" ht="24.75" customHeight="1">
      <c r="A13" s="10" t="s">
        <v>15</v>
      </c>
      <c r="B13" s="7">
        <v>3369</v>
      </c>
      <c r="C13" s="7">
        <v>2619</v>
      </c>
      <c r="D13" s="7">
        <v>1053</v>
      </c>
      <c r="E13" s="8">
        <f t="shared" si="0"/>
        <v>40.20618556701031</v>
      </c>
      <c r="F13" s="9">
        <v>5.8</v>
      </c>
      <c r="G13" s="7">
        <f>8778436+36307166</f>
        <v>45085602</v>
      </c>
      <c r="H13" s="11">
        <f>53846+37118</f>
        <v>90964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1"/>
      <c r="AC13" s="1"/>
      <c r="AD13" s="1"/>
      <c r="AE13" s="1"/>
    </row>
    <row r="14" spans="1:31" ht="24.75" customHeight="1" thickBot="1">
      <c r="A14" s="10" t="s">
        <v>16</v>
      </c>
      <c r="B14" s="7">
        <v>3609</v>
      </c>
      <c r="C14" s="7">
        <v>2593</v>
      </c>
      <c r="D14" s="7">
        <v>901</v>
      </c>
      <c r="E14" s="8">
        <f t="shared" si="0"/>
        <v>34.7473968376398</v>
      </c>
      <c r="F14" s="9">
        <v>11.9</v>
      </c>
      <c r="G14" s="7">
        <f>7960330+34017270</f>
        <v>41977600</v>
      </c>
      <c r="H14" s="11">
        <f>52119+15306</f>
        <v>67425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1"/>
      <c r="AC14" s="1"/>
      <c r="AD14" s="1"/>
      <c r="AE14" s="1"/>
    </row>
    <row r="15" spans="1:31" ht="24.75" customHeight="1" thickBot="1" thickTop="1">
      <c r="A15" s="3" t="s">
        <v>18</v>
      </c>
      <c r="B15" s="20">
        <f>SUM(B7:B14)</f>
        <v>25904</v>
      </c>
      <c r="C15" s="20">
        <f>SUM(C7:C14)</f>
        <v>18012</v>
      </c>
      <c r="D15" s="20">
        <f>SUM(D7:D14)</f>
        <v>7134</v>
      </c>
      <c r="E15" s="21">
        <f t="shared" si="0"/>
        <v>39.606928714190545</v>
      </c>
      <c r="F15" s="21">
        <v>7.7</v>
      </c>
      <c r="G15" s="20">
        <f>SUM(G7:G14)</f>
        <v>447253710</v>
      </c>
      <c r="H15" s="22">
        <f>SUM(H7:H14)</f>
        <v>339604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1"/>
      <c r="AC15" s="1"/>
      <c r="AD15" s="1"/>
      <c r="AE15" s="1"/>
    </row>
    <row r="16" spans="1:31" ht="24.75" customHeight="1" thickBot="1" thickTop="1">
      <c r="A16" s="4" t="s">
        <v>19</v>
      </c>
      <c r="B16" s="12">
        <v>27315</v>
      </c>
      <c r="C16" s="13">
        <v>20099</v>
      </c>
      <c r="D16" s="13">
        <v>9509</v>
      </c>
      <c r="E16" s="14">
        <f>D16/C16*100</f>
        <v>47.31081148315837</v>
      </c>
      <c r="F16" s="14">
        <v>7.7</v>
      </c>
      <c r="G16" s="13">
        <v>343357854</v>
      </c>
      <c r="H16" s="15">
        <v>479957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5"/>
      <c r="W16" s="5"/>
      <c r="X16" s="5"/>
      <c r="Y16" s="5"/>
      <c r="Z16" s="5"/>
      <c r="AA16" s="5"/>
      <c r="AB16" s="1"/>
      <c r="AC16" s="1"/>
      <c r="AD16" s="1"/>
      <c r="AE16" s="1"/>
    </row>
    <row r="17" spans="1:31" ht="13.5" thickTop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I5" sqref="I5"/>
    </sheetView>
  </sheetViews>
  <sheetFormatPr defaultColWidth="9.140625" defaultRowHeight="12.75"/>
  <cols>
    <col min="1" max="1" width="20.57421875" style="0" customWidth="1"/>
    <col min="2" max="2" width="11.8515625" style="0" customWidth="1"/>
    <col min="6" max="6" width="12.140625" style="0" customWidth="1"/>
  </cols>
  <sheetData>
    <row r="1" spans="1:6" ht="20.25">
      <c r="A1" s="148" t="s">
        <v>176</v>
      </c>
      <c r="C1" s="98"/>
      <c r="D1" s="98"/>
      <c r="E1" s="98"/>
      <c r="F1" s="98"/>
    </row>
    <row r="2" spans="1:6" ht="15">
      <c r="A2" s="98"/>
      <c r="B2" s="98"/>
      <c r="C2" s="98"/>
      <c r="D2" s="98"/>
      <c r="E2" s="98"/>
      <c r="F2" s="98"/>
    </row>
    <row r="3" spans="1:6" ht="15.75" thickBot="1">
      <c r="A3" s="98" t="s">
        <v>177</v>
      </c>
      <c r="B3" s="98"/>
      <c r="C3" s="98"/>
      <c r="D3" s="98"/>
      <c r="E3" s="98"/>
      <c r="F3" s="98"/>
    </row>
    <row r="4" spans="1:6" ht="16.5" thickBot="1" thickTop="1">
      <c r="A4" s="252" t="s">
        <v>108</v>
      </c>
      <c r="B4" s="252" t="s">
        <v>33</v>
      </c>
      <c r="C4" s="253" t="s">
        <v>178</v>
      </c>
      <c r="D4" s="254" t="s">
        <v>179</v>
      </c>
      <c r="E4" s="64"/>
      <c r="F4" s="65"/>
    </row>
    <row r="5" spans="1:6" ht="46.5" thickBot="1" thickTop="1">
      <c r="A5" s="255" t="s">
        <v>110</v>
      </c>
      <c r="B5" s="256" t="s">
        <v>180</v>
      </c>
      <c r="C5" s="257" t="s">
        <v>181</v>
      </c>
      <c r="D5" s="258" t="s">
        <v>182</v>
      </c>
      <c r="E5" s="259" t="s">
        <v>183</v>
      </c>
      <c r="F5" s="260" t="s">
        <v>184</v>
      </c>
    </row>
    <row r="6" spans="1:6" ht="16.5" thickTop="1">
      <c r="A6" s="73" t="s">
        <v>9</v>
      </c>
      <c r="B6" s="261">
        <f>D6+E6+F6</f>
        <v>58</v>
      </c>
      <c r="C6" s="262">
        <f>B6/B15*100</f>
        <v>3.433984606275903</v>
      </c>
      <c r="D6" s="172">
        <v>32</v>
      </c>
      <c r="E6" s="172">
        <v>19</v>
      </c>
      <c r="F6" s="175">
        <v>7</v>
      </c>
    </row>
    <row r="7" spans="1:6" ht="15.75">
      <c r="A7" s="89" t="s">
        <v>10</v>
      </c>
      <c r="B7" s="261">
        <f aca="true" t="shared" si="0" ref="B7:B14">D7+E7+F7</f>
        <v>25</v>
      </c>
      <c r="C7" s="263">
        <f>B7/B15*100</f>
        <v>1.4801657785671996</v>
      </c>
      <c r="D7" s="176">
        <v>25</v>
      </c>
      <c r="E7" s="176">
        <v>0</v>
      </c>
      <c r="F7" s="177">
        <v>0</v>
      </c>
    </row>
    <row r="8" spans="1:6" ht="15.75">
      <c r="A8" s="89" t="s">
        <v>11</v>
      </c>
      <c r="B8" s="261">
        <f t="shared" si="0"/>
        <v>241</v>
      </c>
      <c r="C8" s="263">
        <f>B8/B15*100</f>
        <v>14.268798105387804</v>
      </c>
      <c r="D8" s="176">
        <v>105</v>
      </c>
      <c r="E8" s="176">
        <v>46</v>
      </c>
      <c r="F8" s="177">
        <v>90</v>
      </c>
    </row>
    <row r="9" spans="1:6" ht="15.75">
      <c r="A9" s="89" t="s">
        <v>12</v>
      </c>
      <c r="B9" s="261">
        <f t="shared" si="0"/>
        <v>29</v>
      </c>
      <c r="C9" s="263">
        <f>B9/B15*100</f>
        <v>1.7169923031379515</v>
      </c>
      <c r="D9" s="176">
        <v>27</v>
      </c>
      <c r="E9" s="176">
        <v>2</v>
      </c>
      <c r="F9" s="177">
        <v>0</v>
      </c>
    </row>
    <row r="10" spans="1:6" ht="15.75">
      <c r="A10" s="89" t="s">
        <v>13</v>
      </c>
      <c r="B10" s="261">
        <f t="shared" si="0"/>
        <v>293</v>
      </c>
      <c r="C10" s="263">
        <f>B10/B15*100</f>
        <v>17.34754292480758</v>
      </c>
      <c r="D10" s="176">
        <v>159</v>
      </c>
      <c r="E10" s="176">
        <v>132</v>
      </c>
      <c r="F10" s="177">
        <v>2</v>
      </c>
    </row>
    <row r="11" spans="1:6" ht="15.75">
      <c r="A11" s="89" t="s">
        <v>14</v>
      </c>
      <c r="B11" s="261">
        <f t="shared" si="0"/>
        <v>249</v>
      </c>
      <c r="C11" s="263">
        <f>B11/B15*100</f>
        <v>14.742451154529308</v>
      </c>
      <c r="D11" s="176">
        <v>145</v>
      </c>
      <c r="E11" s="176">
        <v>102</v>
      </c>
      <c r="F11" s="177">
        <v>2</v>
      </c>
    </row>
    <row r="12" spans="1:6" ht="15.75">
      <c r="A12" s="89" t="s">
        <v>15</v>
      </c>
      <c r="B12" s="261">
        <f t="shared" si="0"/>
        <v>146</v>
      </c>
      <c r="C12" s="263">
        <f>B12/B15*100</f>
        <v>8.644168146832445</v>
      </c>
      <c r="D12" s="176">
        <v>90</v>
      </c>
      <c r="E12" s="176">
        <v>36</v>
      </c>
      <c r="F12" s="177">
        <v>20</v>
      </c>
    </row>
    <row r="13" spans="1:6" ht="15.75">
      <c r="A13" s="89" t="s">
        <v>16</v>
      </c>
      <c r="B13" s="261">
        <f t="shared" si="0"/>
        <v>310</v>
      </c>
      <c r="C13" s="263">
        <f>B13/B15*100</f>
        <v>18.354055654233274</v>
      </c>
      <c r="D13" s="176">
        <v>240</v>
      </c>
      <c r="E13" s="176">
        <v>45</v>
      </c>
      <c r="F13" s="177">
        <v>25</v>
      </c>
    </row>
    <row r="14" spans="1:6" ht="16.5" thickBot="1">
      <c r="A14" s="89" t="s">
        <v>185</v>
      </c>
      <c r="B14" s="261">
        <f t="shared" si="0"/>
        <v>338</v>
      </c>
      <c r="C14" s="263">
        <f>B14/B15*100</f>
        <v>20.011841326228538</v>
      </c>
      <c r="D14" s="176">
        <v>199</v>
      </c>
      <c r="E14" s="176">
        <v>40</v>
      </c>
      <c r="F14" s="177">
        <v>99</v>
      </c>
    </row>
    <row r="15" spans="1:6" ht="16.5" thickTop="1">
      <c r="A15" s="264" t="s">
        <v>144</v>
      </c>
      <c r="B15" s="265">
        <f>SUM(B6:B14)</f>
        <v>1689</v>
      </c>
      <c r="C15" s="266">
        <f>SUM(C6:C14)</f>
        <v>100</v>
      </c>
      <c r="D15" s="265">
        <f>SUM(D6:D14)</f>
        <v>1022</v>
      </c>
      <c r="E15" s="267">
        <f>SUM(E6:E14)</f>
        <v>422</v>
      </c>
      <c r="F15" s="268">
        <f>SUM(F6:F14)</f>
        <v>245</v>
      </c>
    </row>
    <row r="16" spans="1:6" ht="16.5" thickBot="1">
      <c r="A16" s="269" t="s">
        <v>145</v>
      </c>
      <c r="B16" s="270">
        <v>2651</v>
      </c>
      <c r="C16" s="271" t="s">
        <v>186</v>
      </c>
      <c r="D16" s="270">
        <v>1554</v>
      </c>
      <c r="E16" s="271">
        <v>686</v>
      </c>
      <c r="F16" s="272">
        <v>411</v>
      </c>
    </row>
    <row r="17" ht="13.5" thickTop="1"/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6"/>
  <sheetViews>
    <sheetView workbookViewId="0" topLeftCell="A1">
      <selection activeCell="D20" sqref="D20"/>
    </sheetView>
  </sheetViews>
  <sheetFormatPr defaultColWidth="9.140625" defaultRowHeight="12.75"/>
  <cols>
    <col min="1" max="1" width="22.421875" style="0" customWidth="1"/>
  </cols>
  <sheetData>
    <row r="1" ht="18">
      <c r="F1" s="24" t="s">
        <v>20</v>
      </c>
    </row>
    <row r="2" ht="18">
      <c r="F2" s="25" t="s">
        <v>21</v>
      </c>
    </row>
    <row r="3" ht="18">
      <c r="D3" s="26"/>
    </row>
    <row r="4" spans="3:4" ht="18">
      <c r="C4" s="27"/>
      <c r="D4" s="28" t="s">
        <v>22</v>
      </c>
    </row>
    <row r="6" ht="18.75" thickBot="1">
      <c r="A6" s="29" t="s">
        <v>23</v>
      </c>
    </row>
    <row r="7" spans="1:19" ht="17.25" thickBot="1" thickTop="1">
      <c r="A7" s="30" t="s">
        <v>24</v>
      </c>
      <c r="B7" s="31" t="s">
        <v>9</v>
      </c>
      <c r="C7" s="32"/>
      <c r="D7" s="31" t="s">
        <v>25</v>
      </c>
      <c r="E7" s="32"/>
      <c r="F7" s="31" t="s">
        <v>26</v>
      </c>
      <c r="G7" s="32"/>
      <c r="H7" s="31" t="s">
        <v>27</v>
      </c>
      <c r="I7" s="32"/>
      <c r="J7" s="31" t="s">
        <v>28</v>
      </c>
      <c r="K7" s="32"/>
      <c r="L7" s="33" t="s">
        <v>14</v>
      </c>
      <c r="M7" s="32"/>
      <c r="N7" s="34" t="s">
        <v>29</v>
      </c>
      <c r="O7" s="35"/>
      <c r="P7" s="36" t="s">
        <v>30</v>
      </c>
      <c r="Q7" s="37"/>
      <c r="R7" s="38" t="s">
        <v>31</v>
      </c>
      <c r="S7" s="32"/>
    </row>
    <row r="8" spans="1:19" ht="17.25" thickBot="1" thickTop="1">
      <c r="A8" s="39" t="s">
        <v>32</v>
      </c>
      <c r="B8" s="40" t="s">
        <v>33</v>
      </c>
      <c r="C8" s="41" t="s">
        <v>34</v>
      </c>
      <c r="D8" s="40" t="s">
        <v>33</v>
      </c>
      <c r="E8" s="40" t="s">
        <v>34</v>
      </c>
      <c r="F8" s="40" t="s">
        <v>33</v>
      </c>
      <c r="G8" s="40" t="s">
        <v>34</v>
      </c>
      <c r="H8" s="40" t="s">
        <v>33</v>
      </c>
      <c r="I8" s="40" t="s">
        <v>34</v>
      </c>
      <c r="J8" s="40" t="s">
        <v>33</v>
      </c>
      <c r="K8" s="40" t="s">
        <v>35</v>
      </c>
      <c r="L8" s="40" t="s">
        <v>33</v>
      </c>
      <c r="M8" s="40" t="s">
        <v>36</v>
      </c>
      <c r="N8" s="40" t="s">
        <v>33</v>
      </c>
      <c r="O8" s="40" t="s">
        <v>37</v>
      </c>
      <c r="P8" s="40" t="s">
        <v>33</v>
      </c>
      <c r="Q8" s="40" t="s">
        <v>34</v>
      </c>
      <c r="R8" s="40" t="s">
        <v>33</v>
      </c>
      <c r="S8" s="42" t="s">
        <v>34</v>
      </c>
    </row>
    <row r="9" spans="1:19" ht="15.75" thickTop="1">
      <c r="A9" s="43" t="s">
        <v>38</v>
      </c>
      <c r="B9" s="44">
        <v>1173</v>
      </c>
      <c r="C9" s="45">
        <f>B9/B16*100</f>
        <v>32.62865090403338</v>
      </c>
      <c r="D9" s="44">
        <v>682</v>
      </c>
      <c r="E9" s="45">
        <f>D9/D16*100</f>
        <v>25.40983606557377</v>
      </c>
      <c r="F9" s="46">
        <v>745</v>
      </c>
      <c r="G9" s="45">
        <f>F9/F16*100</f>
        <v>27.03193033381713</v>
      </c>
      <c r="H9" s="44">
        <v>877</v>
      </c>
      <c r="I9" s="45">
        <f>H9/H16*100</f>
        <v>24.802036199095024</v>
      </c>
      <c r="J9" s="47">
        <v>920</v>
      </c>
      <c r="K9" s="45">
        <f>J9/J16*100</f>
        <v>25.400331308669244</v>
      </c>
      <c r="L9" s="44">
        <v>823</v>
      </c>
      <c r="M9" s="45">
        <f>L9/L16*100</f>
        <v>30.146520146520146</v>
      </c>
      <c r="N9" s="44">
        <v>1057</v>
      </c>
      <c r="O9" s="45">
        <f>N9*100/N16</f>
        <v>29.483960948396096</v>
      </c>
      <c r="P9" s="44">
        <v>831</v>
      </c>
      <c r="Q9" s="48">
        <f>100/P16*P9</f>
        <v>24.469964664310954</v>
      </c>
      <c r="R9" s="49">
        <f aca="true" t="shared" si="0" ref="R9:R15">B9+D9+F9+H9+J9+L9+N9+P9</f>
        <v>7108</v>
      </c>
      <c r="S9" s="50">
        <f>R9/R16*100</f>
        <v>27.439777640518837</v>
      </c>
    </row>
    <row r="10" spans="1:19" ht="15">
      <c r="A10" s="43" t="s">
        <v>39</v>
      </c>
      <c r="B10" s="44">
        <v>29</v>
      </c>
      <c r="C10" s="45">
        <f>B10/B16*100</f>
        <v>0.8066759388038943</v>
      </c>
      <c r="D10" s="44">
        <v>44</v>
      </c>
      <c r="E10" s="45">
        <f>D10/D16*100</f>
        <v>1.639344262295082</v>
      </c>
      <c r="F10" s="44">
        <v>297</v>
      </c>
      <c r="G10" s="45">
        <f>F10/F16*100</f>
        <v>10.776487663280115</v>
      </c>
      <c r="H10" s="44">
        <v>175</v>
      </c>
      <c r="I10" s="45">
        <f>H10/H16*100</f>
        <v>4.949095022624435</v>
      </c>
      <c r="J10" s="47">
        <v>453</v>
      </c>
      <c r="K10" s="45">
        <f>J10/J16*100</f>
        <v>12.506902263942573</v>
      </c>
      <c r="L10" s="47">
        <v>133</v>
      </c>
      <c r="M10" s="45">
        <f>L10/L16*100</f>
        <v>4.871794871794872</v>
      </c>
      <c r="N10" s="44">
        <v>71</v>
      </c>
      <c r="O10" s="45">
        <f>N10*100/N16</f>
        <v>1.9804741980474199</v>
      </c>
      <c r="P10" s="44">
        <v>80</v>
      </c>
      <c r="Q10" s="48">
        <f>100/P16*P10</f>
        <v>2.3557126030624262</v>
      </c>
      <c r="R10" s="49">
        <f t="shared" si="0"/>
        <v>1282</v>
      </c>
      <c r="S10" s="50">
        <f>R10/R16*100</f>
        <v>4.949042618900556</v>
      </c>
    </row>
    <row r="11" spans="1:19" ht="15">
      <c r="A11" s="43" t="s">
        <v>40</v>
      </c>
      <c r="B11" s="44">
        <v>1093</v>
      </c>
      <c r="C11" s="45">
        <f>B11/B16*100</f>
        <v>30.403337969401946</v>
      </c>
      <c r="D11" s="44">
        <v>1350</v>
      </c>
      <c r="E11" s="45">
        <f>D11/D16*100</f>
        <v>50.298062593144564</v>
      </c>
      <c r="F11" s="44">
        <v>1091</v>
      </c>
      <c r="G11" s="45">
        <f>F11/F16*100</f>
        <v>39.58635703918723</v>
      </c>
      <c r="H11" s="44">
        <v>1769</v>
      </c>
      <c r="I11" s="45">
        <f>H11/H16*100</f>
        <v>50.02828054298642</v>
      </c>
      <c r="J11" s="44">
        <v>1336</v>
      </c>
      <c r="K11" s="45">
        <f>J11/J16*100</f>
        <v>36.88569850911099</v>
      </c>
      <c r="L11" s="47">
        <v>1072</v>
      </c>
      <c r="M11" s="45">
        <f>L11/L16*100</f>
        <v>39.26739926739927</v>
      </c>
      <c r="N11" s="44">
        <v>1533</v>
      </c>
      <c r="O11" s="45">
        <f>N11*100/N16</f>
        <v>42.76150627615063</v>
      </c>
      <c r="P11" s="44">
        <v>1476</v>
      </c>
      <c r="Q11" s="48">
        <f>100/P16*P11</f>
        <v>43.46289752650177</v>
      </c>
      <c r="R11" s="49">
        <f t="shared" si="0"/>
        <v>10720</v>
      </c>
      <c r="S11" s="50">
        <f>R11/R16*100</f>
        <v>41.38357010500309</v>
      </c>
    </row>
    <row r="12" spans="1:19" ht="15">
      <c r="A12" s="43" t="s">
        <v>41</v>
      </c>
      <c r="B12" s="44">
        <v>1069</v>
      </c>
      <c r="C12" s="45">
        <f>B12/B16*100</f>
        <v>29.735744089012517</v>
      </c>
      <c r="D12" s="44">
        <v>552</v>
      </c>
      <c r="E12" s="45">
        <f>D12/D16*100</f>
        <v>20.566318926974663</v>
      </c>
      <c r="F12" s="44">
        <v>559</v>
      </c>
      <c r="G12" s="45">
        <f>F12/F16*100</f>
        <v>20.28301886792453</v>
      </c>
      <c r="H12" s="44">
        <v>583</v>
      </c>
      <c r="I12" s="45">
        <f>H12/H16*100</f>
        <v>16.487556561085974</v>
      </c>
      <c r="J12" s="47">
        <v>777</v>
      </c>
      <c r="K12" s="45">
        <f>J12/J16*100</f>
        <v>21.452236333517394</v>
      </c>
      <c r="L12" s="47">
        <v>636</v>
      </c>
      <c r="M12" s="45">
        <f>L12/L16*100</f>
        <v>23.296703296703296</v>
      </c>
      <c r="N12" s="44">
        <v>797</v>
      </c>
      <c r="O12" s="45">
        <f>N12*100/N16</f>
        <v>22.23152022315202</v>
      </c>
      <c r="P12" s="44">
        <v>831</v>
      </c>
      <c r="Q12" s="48">
        <f>100/P16*P12</f>
        <v>24.469964664310954</v>
      </c>
      <c r="R12" s="49">
        <f t="shared" si="0"/>
        <v>5804</v>
      </c>
      <c r="S12" s="50">
        <f>R12/R16*100</f>
        <v>22.40580605311921</v>
      </c>
    </row>
    <row r="13" spans="1:19" ht="15">
      <c r="A13" s="43" t="s">
        <v>42</v>
      </c>
      <c r="B13" s="44">
        <v>1</v>
      </c>
      <c r="C13" s="45">
        <f>B13/B16*100</f>
        <v>0.027816411682892908</v>
      </c>
      <c r="D13" s="44">
        <v>2</v>
      </c>
      <c r="E13" s="45">
        <f>D13/D16*100</f>
        <v>0.07451564828614009</v>
      </c>
      <c r="F13" s="44">
        <v>13</v>
      </c>
      <c r="G13" s="45">
        <f>F13/F16*100</f>
        <v>0.4716981132075472</v>
      </c>
      <c r="H13" s="44">
        <v>10</v>
      </c>
      <c r="I13" s="45">
        <f>H13/H16*100</f>
        <v>0.2828054298642534</v>
      </c>
      <c r="J13" s="47">
        <v>57</v>
      </c>
      <c r="K13" s="45">
        <f>J13/J16*100</f>
        <v>1.5737161789066816</v>
      </c>
      <c r="L13" s="47">
        <v>14</v>
      </c>
      <c r="M13" s="45">
        <f>L13/L16*100</f>
        <v>0.5128205128205128</v>
      </c>
      <c r="N13" s="44">
        <v>21</v>
      </c>
      <c r="O13" s="45">
        <f>N13*100/N16</f>
        <v>0.5857740585774058</v>
      </c>
      <c r="P13" s="44">
        <v>21</v>
      </c>
      <c r="Q13" s="48">
        <f>100/P16*P13</f>
        <v>0.618374558303887</v>
      </c>
      <c r="R13" s="49">
        <f t="shared" si="0"/>
        <v>139</v>
      </c>
      <c r="S13" s="50">
        <f>R13/R16*100</f>
        <v>0.5365966646077825</v>
      </c>
    </row>
    <row r="14" spans="1:19" ht="15">
      <c r="A14" s="43" t="s">
        <v>43</v>
      </c>
      <c r="B14" s="44">
        <v>61</v>
      </c>
      <c r="C14" s="45">
        <f>B14/B16*100</f>
        <v>1.6968011126564673</v>
      </c>
      <c r="D14" s="44">
        <v>13</v>
      </c>
      <c r="E14" s="45">
        <f>D14/D16*100</f>
        <v>0.48435171385991055</v>
      </c>
      <c r="F14" s="44">
        <v>12</v>
      </c>
      <c r="G14" s="45">
        <f>F14/F16*100</f>
        <v>0.43541364296081275</v>
      </c>
      <c r="H14" s="44">
        <v>38</v>
      </c>
      <c r="I14" s="45">
        <f>H14/H16*100</f>
        <v>1.0746606334841629</v>
      </c>
      <c r="J14" s="47">
        <v>15</v>
      </c>
      <c r="K14" s="45">
        <f>J14/J16*100</f>
        <v>0.41413583655438985</v>
      </c>
      <c r="L14" s="47">
        <v>8</v>
      </c>
      <c r="M14" s="45">
        <f>L14/L16*100</f>
        <v>0.29304029304029305</v>
      </c>
      <c r="N14" s="44">
        <v>16</v>
      </c>
      <c r="O14" s="45">
        <f>N14*100/N16</f>
        <v>0.44630404463040446</v>
      </c>
      <c r="P14" s="44">
        <v>36</v>
      </c>
      <c r="Q14" s="48">
        <f>100/P16*P14</f>
        <v>1.0600706713780919</v>
      </c>
      <c r="R14" s="49">
        <f t="shared" si="0"/>
        <v>199</v>
      </c>
      <c r="S14" s="50">
        <f>R14/R16*100</f>
        <v>0.7682211241507103</v>
      </c>
    </row>
    <row r="15" spans="1:19" ht="15.75" thickBot="1">
      <c r="A15" s="51" t="s">
        <v>44</v>
      </c>
      <c r="B15" s="52">
        <v>169</v>
      </c>
      <c r="C15" s="53">
        <f>B15/B16*100</f>
        <v>4.700973574408901</v>
      </c>
      <c r="D15" s="53">
        <v>41</v>
      </c>
      <c r="E15" s="53">
        <f>D15/D16*100</f>
        <v>1.527570789865872</v>
      </c>
      <c r="F15" s="52">
        <v>39</v>
      </c>
      <c r="G15" s="53">
        <f>F15/F16*100</f>
        <v>1.4150943396226416</v>
      </c>
      <c r="H15" s="52">
        <v>84</v>
      </c>
      <c r="I15" s="53">
        <f>H15/H16*100</f>
        <v>2.3755656108597285</v>
      </c>
      <c r="J15" s="54">
        <v>64</v>
      </c>
      <c r="K15" s="53">
        <f>J15/J16*100</f>
        <v>1.7669795692987302</v>
      </c>
      <c r="L15" s="54">
        <v>44</v>
      </c>
      <c r="M15" s="53">
        <f>L15/L16*100</f>
        <v>1.611721611721612</v>
      </c>
      <c r="N15" s="52">
        <v>90</v>
      </c>
      <c r="O15" s="53">
        <f>N15*100/N16</f>
        <v>2.510460251046025</v>
      </c>
      <c r="P15" s="52">
        <v>121</v>
      </c>
      <c r="Q15" s="55">
        <f>100/P16*P15</f>
        <v>3.56301531213192</v>
      </c>
      <c r="R15" s="56">
        <f t="shared" si="0"/>
        <v>652</v>
      </c>
      <c r="S15" s="57">
        <f>R15/R16*100</f>
        <v>2.516985793699815</v>
      </c>
    </row>
    <row r="16" spans="1:19" ht="15.75" thickBot="1" thickTop="1">
      <c r="A16" s="58" t="s">
        <v>45</v>
      </c>
      <c r="B16" s="59">
        <f>SUM(B9:B15)</f>
        <v>3595</v>
      </c>
      <c r="C16" s="60">
        <f>SUM(C9:C15)</f>
        <v>100</v>
      </c>
      <c r="D16" s="59">
        <f>SUM(D9:D15)</f>
        <v>2684</v>
      </c>
      <c r="E16" s="60">
        <f>SUM(E9:E15)</f>
        <v>100</v>
      </c>
      <c r="F16" s="59">
        <f>SUM(F9:F15)</f>
        <v>2756</v>
      </c>
      <c r="G16" s="60">
        <f aca="true" t="shared" si="1" ref="G16:S16">SUM(G9:G15)</f>
        <v>100</v>
      </c>
      <c r="H16" s="59">
        <f t="shared" si="1"/>
        <v>3536</v>
      </c>
      <c r="I16" s="60">
        <f t="shared" si="1"/>
        <v>99.99999999999999</v>
      </c>
      <c r="J16" s="59">
        <f t="shared" si="1"/>
        <v>3622</v>
      </c>
      <c r="K16" s="60">
        <f t="shared" si="1"/>
        <v>99.99999999999999</v>
      </c>
      <c r="L16" s="59">
        <f t="shared" si="1"/>
        <v>2730</v>
      </c>
      <c r="M16" s="60">
        <f t="shared" si="1"/>
        <v>100</v>
      </c>
      <c r="N16" s="59">
        <f t="shared" si="1"/>
        <v>3585</v>
      </c>
      <c r="O16" s="60">
        <f t="shared" si="1"/>
        <v>100</v>
      </c>
      <c r="P16" s="59">
        <f t="shared" si="1"/>
        <v>3396</v>
      </c>
      <c r="Q16" s="60">
        <f t="shared" si="1"/>
        <v>99.99999999999999</v>
      </c>
      <c r="R16" s="59">
        <f t="shared" si="1"/>
        <v>25904</v>
      </c>
      <c r="S16" s="61">
        <f t="shared" si="1"/>
        <v>100</v>
      </c>
    </row>
    <row r="17" ht="13.5" thickTop="1"/>
  </sheetData>
  <printOptions gridLines="1"/>
  <pageMargins left="0.3937007874015748" right="0.3937007874015748" top="0.984251968503937" bottom="0.984251968503937" header="0.5118110236220472" footer="0.5118110236220472"/>
  <pageSetup horizontalDpi="1200" verticalDpi="1200" orientation="landscape" paperSize="9" scale="75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G20" sqref="G20"/>
    </sheetView>
  </sheetViews>
  <sheetFormatPr defaultColWidth="9.140625" defaultRowHeight="12.75"/>
  <cols>
    <col min="1" max="1" width="20.140625" style="0" customWidth="1"/>
    <col min="2" max="2" width="15.57421875" style="0" customWidth="1"/>
    <col min="3" max="3" width="13.8515625" style="0" customWidth="1"/>
    <col min="4" max="4" width="15.421875" style="0" customWidth="1"/>
    <col min="6" max="6" width="18.421875" style="0" customWidth="1"/>
    <col min="7" max="7" width="10.8515625" style="0" customWidth="1"/>
    <col min="8" max="8" width="10.57421875" style="0" customWidth="1"/>
    <col min="9" max="9" width="10.8515625" style="0" customWidth="1"/>
    <col min="10" max="10" width="15.28125" style="0" customWidth="1"/>
  </cols>
  <sheetData>
    <row r="1" spans="3:8" ht="20.25">
      <c r="C1" s="82" t="s">
        <v>79</v>
      </c>
      <c r="D1" s="83"/>
      <c r="E1" s="83"/>
      <c r="F1" s="83"/>
      <c r="G1" s="83"/>
      <c r="H1" s="83"/>
    </row>
    <row r="2" spans="3:8" ht="18">
      <c r="C2" s="83"/>
      <c r="D2" s="84" t="s">
        <v>63</v>
      </c>
      <c r="E2" s="83"/>
      <c r="F2" s="83"/>
      <c r="G2" s="83"/>
      <c r="H2" s="83"/>
    </row>
    <row r="3" ht="13.5" thickBot="1"/>
    <row r="4" spans="1:10" ht="17.25" thickBot="1" thickTop="1">
      <c r="A4" s="3" t="s">
        <v>46</v>
      </c>
      <c r="B4" s="62" t="s">
        <v>33</v>
      </c>
      <c r="C4" s="63" t="s">
        <v>47</v>
      </c>
      <c r="D4" s="64"/>
      <c r="E4" s="64"/>
      <c r="F4" s="65"/>
      <c r="G4" s="31" t="s">
        <v>48</v>
      </c>
      <c r="H4" s="64"/>
      <c r="I4" s="64"/>
      <c r="J4" s="65"/>
    </row>
    <row r="5" spans="1:10" ht="17.25" thickBot="1" thickTop="1">
      <c r="A5" s="66" t="s">
        <v>49</v>
      </c>
      <c r="B5" s="67" t="s">
        <v>50</v>
      </c>
      <c r="C5" s="68" t="s">
        <v>51</v>
      </c>
      <c r="D5" s="65"/>
      <c r="E5" s="68" t="s">
        <v>52</v>
      </c>
      <c r="F5" s="65"/>
      <c r="G5" s="69" t="s">
        <v>51</v>
      </c>
      <c r="H5" s="65"/>
      <c r="I5" s="69" t="s">
        <v>52</v>
      </c>
      <c r="J5" s="65"/>
    </row>
    <row r="6" spans="1:10" ht="17.25" thickBot="1" thickTop="1">
      <c r="A6" s="39" t="s">
        <v>53</v>
      </c>
      <c r="B6" s="70" t="s">
        <v>54</v>
      </c>
      <c r="C6" s="71" t="s">
        <v>55</v>
      </c>
      <c r="D6" s="71" t="s">
        <v>56</v>
      </c>
      <c r="E6" s="71" t="s">
        <v>57</v>
      </c>
      <c r="F6" s="71" t="s">
        <v>56</v>
      </c>
      <c r="G6" s="71" t="s">
        <v>57</v>
      </c>
      <c r="H6" s="71" t="s">
        <v>56</v>
      </c>
      <c r="I6" s="72" t="s">
        <v>57</v>
      </c>
      <c r="J6" s="71" t="s">
        <v>56</v>
      </c>
    </row>
    <row r="7" spans="1:10" ht="16.5" thickTop="1">
      <c r="A7" s="73" t="s">
        <v>58</v>
      </c>
      <c r="B7" s="74">
        <v>84</v>
      </c>
      <c r="C7" s="74">
        <v>39</v>
      </c>
      <c r="D7" s="75">
        <v>12672</v>
      </c>
      <c r="E7" s="74">
        <v>27</v>
      </c>
      <c r="F7" s="75">
        <v>8675</v>
      </c>
      <c r="G7" s="74">
        <v>0</v>
      </c>
      <c r="H7" s="75">
        <v>0</v>
      </c>
      <c r="I7" s="74">
        <v>1</v>
      </c>
      <c r="J7" s="76">
        <v>90</v>
      </c>
    </row>
    <row r="8" spans="1:10" ht="15.75">
      <c r="A8" s="10" t="s">
        <v>59</v>
      </c>
      <c r="B8" s="7">
        <v>1292</v>
      </c>
      <c r="C8" s="7">
        <v>1900</v>
      </c>
      <c r="D8" s="7">
        <v>390681</v>
      </c>
      <c r="E8" s="77">
        <v>1026</v>
      </c>
      <c r="F8" s="7">
        <v>1114611</v>
      </c>
      <c r="G8" s="77">
        <v>269</v>
      </c>
      <c r="H8" s="7">
        <v>55831</v>
      </c>
      <c r="I8" s="77">
        <v>82</v>
      </c>
      <c r="J8" s="11">
        <v>3107</v>
      </c>
    </row>
    <row r="9" spans="1:10" ht="15.75">
      <c r="A9" s="10" t="s">
        <v>60</v>
      </c>
      <c r="B9" s="7">
        <v>24473</v>
      </c>
      <c r="C9" s="7">
        <v>25458</v>
      </c>
      <c r="D9" s="7">
        <v>104824307</v>
      </c>
      <c r="E9" s="7">
        <v>62352</v>
      </c>
      <c r="F9" s="7">
        <v>326539882</v>
      </c>
      <c r="G9" s="7">
        <v>2479</v>
      </c>
      <c r="H9" s="7">
        <v>194487</v>
      </c>
      <c r="I9" s="77">
        <v>721</v>
      </c>
      <c r="J9" s="11">
        <v>85277</v>
      </c>
    </row>
    <row r="10" spans="1:10" ht="16.5" thickBot="1">
      <c r="A10" s="10" t="s">
        <v>61</v>
      </c>
      <c r="B10" s="77">
        <v>55</v>
      </c>
      <c r="C10" s="77">
        <v>35</v>
      </c>
      <c r="D10" s="7">
        <v>13161775</v>
      </c>
      <c r="E10" s="77">
        <v>69</v>
      </c>
      <c r="F10" s="7">
        <v>1201107</v>
      </c>
      <c r="G10" s="77">
        <v>9</v>
      </c>
      <c r="H10" s="7">
        <v>785</v>
      </c>
      <c r="I10" s="77">
        <v>3</v>
      </c>
      <c r="J10" s="78">
        <v>27</v>
      </c>
    </row>
    <row r="11" spans="1:10" ht="17.25" thickBot="1" thickTop="1">
      <c r="A11" s="79" t="s">
        <v>62</v>
      </c>
      <c r="B11" s="80">
        <f>SUM(B7:B10)</f>
        <v>25904</v>
      </c>
      <c r="C11" s="80">
        <f aca="true" t="shared" si="0" ref="C11:J11">SUM(C7:C10)</f>
        <v>27432</v>
      </c>
      <c r="D11" s="80">
        <f t="shared" si="0"/>
        <v>118389435</v>
      </c>
      <c r="E11" s="80">
        <f t="shared" si="0"/>
        <v>63474</v>
      </c>
      <c r="F11" s="80">
        <f t="shared" si="0"/>
        <v>328864275</v>
      </c>
      <c r="G11" s="80">
        <f t="shared" si="0"/>
        <v>2757</v>
      </c>
      <c r="H11" s="80">
        <f t="shared" si="0"/>
        <v>251103</v>
      </c>
      <c r="I11" s="80">
        <f t="shared" si="0"/>
        <v>807</v>
      </c>
      <c r="J11" s="81">
        <f t="shared" si="0"/>
        <v>88501</v>
      </c>
    </row>
    <row r="12" ht="13.5" thickTop="1"/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J8" sqref="J8"/>
    </sheetView>
  </sheetViews>
  <sheetFormatPr defaultColWidth="9.140625" defaultRowHeight="12.75"/>
  <cols>
    <col min="1" max="1" width="23.140625" style="0" customWidth="1"/>
    <col min="3" max="3" width="17.00390625" style="0" customWidth="1"/>
    <col min="5" max="5" width="15.57421875" style="0" customWidth="1"/>
    <col min="8" max="8" width="14.140625" style="0" customWidth="1"/>
  </cols>
  <sheetData>
    <row r="1" ht="18">
      <c r="C1" s="25" t="s">
        <v>80</v>
      </c>
    </row>
    <row r="4" ht="15.75" thickBot="1">
      <c r="A4" s="98" t="s">
        <v>81</v>
      </c>
    </row>
    <row r="5" spans="1:9" ht="17.25" thickBot="1" thickTop="1">
      <c r="A5" s="3"/>
      <c r="B5" s="31" t="s">
        <v>64</v>
      </c>
      <c r="C5" s="65"/>
      <c r="D5" s="31" t="s">
        <v>65</v>
      </c>
      <c r="E5" s="65"/>
      <c r="F5" s="31" t="s">
        <v>66</v>
      </c>
      <c r="G5" s="64"/>
      <c r="H5" s="64"/>
      <c r="I5" s="65"/>
    </row>
    <row r="6" spans="1:9" ht="31.5" thickBot="1" thickTop="1">
      <c r="A6" s="85" t="s">
        <v>67</v>
      </c>
      <c r="B6" s="86" t="s">
        <v>68</v>
      </c>
      <c r="C6" s="87" t="s">
        <v>69</v>
      </c>
      <c r="D6" s="88" t="s">
        <v>68</v>
      </c>
      <c r="E6" s="87" t="s">
        <v>69</v>
      </c>
      <c r="F6" s="88" t="s">
        <v>68</v>
      </c>
      <c r="G6" s="87" t="s">
        <v>70</v>
      </c>
      <c r="H6" s="88" t="s">
        <v>71</v>
      </c>
      <c r="I6" s="87" t="s">
        <v>72</v>
      </c>
    </row>
    <row r="7" spans="1:9" ht="17.25" thickTop="1">
      <c r="A7" s="89" t="s">
        <v>73</v>
      </c>
      <c r="B7" s="90">
        <f>B12-B11-B10-B9-B8</f>
        <v>6863</v>
      </c>
      <c r="C7" s="90">
        <f>C12-C11-C10-C9-C8</f>
        <v>20814186</v>
      </c>
      <c r="D7" s="90">
        <f>D12-D11-D10-D9-D8</f>
        <v>3472</v>
      </c>
      <c r="E7" s="90">
        <f>E12-E11-E10-E9-E8</f>
        <v>22268175</v>
      </c>
      <c r="F7" s="91">
        <f aca="true" t="shared" si="0" ref="F7:F12">B7+D7</f>
        <v>10335</v>
      </c>
      <c r="G7" s="92">
        <f>F7/F12*100</f>
        <v>11.368886542142432</v>
      </c>
      <c r="H7" s="91">
        <f aca="true" t="shared" si="1" ref="H7:H12">C7+E7</f>
        <v>43082361</v>
      </c>
      <c r="I7" s="93">
        <f>H7/H12*100</f>
        <v>9.632644746535474</v>
      </c>
    </row>
    <row r="8" spans="1:9" ht="16.5">
      <c r="A8" s="89" t="s">
        <v>74</v>
      </c>
      <c r="B8" s="90">
        <f>259+749+95+42</f>
        <v>1145</v>
      </c>
      <c r="C8" s="90">
        <f>46456560+31421894+897686+2068701</f>
        <v>80844841</v>
      </c>
      <c r="D8" s="90">
        <f>17606+1701+89+811</f>
        <v>20207</v>
      </c>
      <c r="E8" s="90">
        <f>104920747+39961461+3404910+4692742</f>
        <v>152979860</v>
      </c>
      <c r="F8" s="91">
        <f t="shared" si="0"/>
        <v>21352</v>
      </c>
      <c r="G8" s="92">
        <f>F8/F12*100</f>
        <v>23.487998591952124</v>
      </c>
      <c r="H8" s="91">
        <f t="shared" si="1"/>
        <v>233824701</v>
      </c>
      <c r="I8" s="93">
        <f>H8/H12*100</f>
        <v>52.28010316560594</v>
      </c>
    </row>
    <row r="9" spans="1:9" ht="16.5">
      <c r="A9" s="89" t="s">
        <v>75</v>
      </c>
      <c r="B9" s="90">
        <v>4026</v>
      </c>
      <c r="C9" s="90">
        <v>13054874</v>
      </c>
      <c r="D9" s="90">
        <v>27940</v>
      </c>
      <c r="E9" s="90">
        <v>119335714</v>
      </c>
      <c r="F9" s="91">
        <f t="shared" si="0"/>
        <v>31966</v>
      </c>
      <c r="G9" s="92">
        <f>F9/F12*100</f>
        <v>35.16379556904935</v>
      </c>
      <c r="H9" s="91">
        <f t="shared" si="1"/>
        <v>132390588</v>
      </c>
      <c r="I9" s="93">
        <f>H9/H12*100</f>
        <v>29.600780281956744</v>
      </c>
    </row>
    <row r="10" spans="1:9" ht="16.5">
      <c r="A10" s="89" t="s">
        <v>76</v>
      </c>
      <c r="B10" s="90">
        <f>317</f>
        <v>317</v>
      </c>
      <c r="C10" s="90">
        <v>704419</v>
      </c>
      <c r="D10" s="90">
        <v>6883</v>
      </c>
      <c r="E10" s="90">
        <v>31866388</v>
      </c>
      <c r="F10" s="91">
        <f t="shared" si="0"/>
        <v>7200</v>
      </c>
      <c r="G10" s="92">
        <f>F10/F12*100</f>
        <v>7.920269289155832</v>
      </c>
      <c r="H10" s="91">
        <f t="shared" si="1"/>
        <v>32570807</v>
      </c>
      <c r="I10" s="93">
        <f>H10/H12*100</f>
        <v>7.28240063117643</v>
      </c>
    </row>
    <row r="11" spans="1:9" ht="17.25" thickBot="1">
      <c r="A11" s="89" t="s">
        <v>77</v>
      </c>
      <c r="B11" s="90">
        <f>12591+2490</f>
        <v>15081</v>
      </c>
      <c r="C11" s="90">
        <f>1967367+1003748</f>
        <v>2971115</v>
      </c>
      <c r="D11" s="90">
        <f>1928+3044</f>
        <v>4972</v>
      </c>
      <c r="E11" s="90">
        <f>368680+2045458</f>
        <v>2414138</v>
      </c>
      <c r="F11" s="91">
        <f t="shared" si="0"/>
        <v>20053</v>
      </c>
      <c r="G11" s="92">
        <f>F11/F12*100</f>
        <v>22.05905000770026</v>
      </c>
      <c r="H11" s="91">
        <f t="shared" si="1"/>
        <v>5385253</v>
      </c>
      <c r="I11" s="93">
        <f>H11/H12*100</f>
        <v>1.204071174725415</v>
      </c>
    </row>
    <row r="12" spans="1:9" ht="19.5" thickBot="1" thickTop="1">
      <c r="A12" s="94" t="s">
        <v>78</v>
      </c>
      <c r="B12" s="95">
        <v>27432</v>
      </c>
      <c r="C12" s="95">
        <v>118389435</v>
      </c>
      <c r="D12" s="95">
        <v>63474</v>
      </c>
      <c r="E12" s="95">
        <v>328864275</v>
      </c>
      <c r="F12" s="95">
        <f t="shared" si="0"/>
        <v>90906</v>
      </c>
      <c r="G12" s="96">
        <f>SUM(G7:G11)</f>
        <v>100</v>
      </c>
      <c r="H12" s="95">
        <f t="shared" si="1"/>
        <v>447253710</v>
      </c>
      <c r="I12" s="97">
        <f>SUM(I7:I11)</f>
        <v>100</v>
      </c>
    </row>
    <row r="13" ht="13.5" thickTop="1"/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I23" sqref="I23"/>
    </sheetView>
  </sheetViews>
  <sheetFormatPr defaultColWidth="9.140625" defaultRowHeight="12.75"/>
  <cols>
    <col min="1" max="1" width="26.421875" style="0" customWidth="1"/>
    <col min="2" max="2" width="16.421875" style="0" customWidth="1"/>
    <col min="3" max="3" width="11.57421875" style="0" customWidth="1"/>
    <col min="4" max="4" width="15.421875" style="0" customWidth="1"/>
    <col min="5" max="5" width="11.28125" style="0" customWidth="1"/>
    <col min="6" max="6" width="15.8515625" style="0" customWidth="1"/>
    <col min="7" max="7" width="11.8515625" style="0" customWidth="1"/>
    <col min="9" max="9" width="15.00390625" style="0" customWidth="1"/>
  </cols>
  <sheetData>
    <row r="1" spans="1:10" ht="20.25">
      <c r="A1" s="99" t="s">
        <v>82</v>
      </c>
      <c r="D1" s="98"/>
      <c r="E1" s="98"/>
      <c r="F1" s="98"/>
      <c r="G1" s="98"/>
      <c r="H1" s="98"/>
      <c r="I1" s="98"/>
      <c r="J1" s="98"/>
    </row>
    <row r="2" spans="1:10" ht="18">
      <c r="A2" s="98"/>
      <c r="B2" s="98"/>
      <c r="C2" s="24" t="s">
        <v>83</v>
      </c>
      <c r="F2" s="98"/>
      <c r="G2" s="98"/>
      <c r="H2" s="98"/>
      <c r="I2" s="98"/>
      <c r="J2" s="98"/>
    </row>
    <row r="3" spans="1:10" ht="15">
      <c r="A3" s="98"/>
      <c r="B3" s="98"/>
      <c r="C3" s="1"/>
      <c r="D3" s="98"/>
      <c r="E3" s="98"/>
      <c r="F3" s="98"/>
      <c r="G3" s="98"/>
      <c r="H3" s="98"/>
      <c r="I3" s="98"/>
      <c r="J3" s="98"/>
    </row>
    <row r="4" spans="1:10" ht="15.75" thickBot="1">
      <c r="A4" s="98" t="s">
        <v>84</v>
      </c>
      <c r="B4" s="98"/>
      <c r="C4" s="98"/>
      <c r="D4" s="98"/>
      <c r="E4" s="98"/>
      <c r="F4" s="98"/>
      <c r="G4" s="98"/>
      <c r="H4" s="98"/>
      <c r="I4" s="98"/>
      <c r="J4" s="98"/>
    </row>
    <row r="5" spans="1:10" ht="19.5" thickBot="1" thickTop="1">
      <c r="A5" s="100"/>
      <c r="B5" s="101" t="s">
        <v>33</v>
      </c>
      <c r="C5" s="102" t="s">
        <v>85</v>
      </c>
      <c r="D5" s="103"/>
      <c r="E5" s="103"/>
      <c r="F5" s="103"/>
      <c r="G5" s="103"/>
      <c r="H5" s="103"/>
      <c r="I5" s="103"/>
      <c r="J5" s="104"/>
    </row>
    <row r="6" spans="1:10" ht="16.5" thickBot="1">
      <c r="A6" s="105" t="s">
        <v>32</v>
      </c>
      <c r="B6" s="106" t="s">
        <v>50</v>
      </c>
      <c r="C6" s="107" t="s">
        <v>86</v>
      </c>
      <c r="D6" s="108"/>
      <c r="E6" s="107" t="s">
        <v>87</v>
      </c>
      <c r="F6" s="108"/>
      <c r="G6" s="107" t="s">
        <v>88</v>
      </c>
      <c r="H6" s="109"/>
      <c r="I6" s="109"/>
      <c r="J6" s="110"/>
    </row>
    <row r="7" spans="1:10" ht="15.75" thickBot="1">
      <c r="A7" s="111"/>
      <c r="B7" s="112" t="s">
        <v>89</v>
      </c>
      <c r="C7" s="113" t="s">
        <v>90</v>
      </c>
      <c r="D7" s="113" t="s">
        <v>91</v>
      </c>
      <c r="E7" s="113" t="s">
        <v>90</v>
      </c>
      <c r="F7" s="113" t="s">
        <v>92</v>
      </c>
      <c r="G7" s="114" t="s">
        <v>90</v>
      </c>
      <c r="H7" s="114" t="s">
        <v>93</v>
      </c>
      <c r="I7" s="114" t="s">
        <v>92</v>
      </c>
      <c r="J7" s="115" t="s">
        <v>93</v>
      </c>
    </row>
    <row r="8" spans="1:10" ht="15.75">
      <c r="A8" s="89" t="s">
        <v>94</v>
      </c>
      <c r="B8" s="116">
        <f>3418+183</f>
        <v>3601</v>
      </c>
      <c r="C8" s="116">
        <f>3664+113</f>
        <v>3777</v>
      </c>
      <c r="D8" s="116">
        <f>23989512+1255306</f>
        <v>25244818</v>
      </c>
      <c r="E8" s="116">
        <f>27752+1526</f>
        <v>29278</v>
      </c>
      <c r="F8" s="116">
        <f>74595850+14037577</f>
        <v>88633427</v>
      </c>
      <c r="G8" s="117">
        <f aca="true" t="shared" si="0" ref="G8:G19">C8+E8</f>
        <v>33055</v>
      </c>
      <c r="H8" s="118">
        <f>G8*100/G19</f>
        <v>44.883632512288514</v>
      </c>
      <c r="I8" s="117">
        <f aca="true" t="shared" si="1" ref="I8:I19">D8+F8</f>
        <v>113878245</v>
      </c>
      <c r="J8" s="119">
        <f>I8*100/I19</f>
        <v>25.669209802199845</v>
      </c>
    </row>
    <row r="9" spans="1:10" ht="15.75">
      <c r="A9" s="89" t="s">
        <v>95</v>
      </c>
      <c r="B9" s="116">
        <f>475+10</f>
        <v>485</v>
      </c>
      <c r="C9" s="116">
        <f>1329+1</f>
        <v>1330</v>
      </c>
      <c r="D9" s="116">
        <f>21409180+2652</f>
        <v>21411832</v>
      </c>
      <c r="E9" s="116">
        <f>2141+151</f>
        <v>2292</v>
      </c>
      <c r="F9" s="116">
        <f>33056391+3800278</f>
        <v>36856669</v>
      </c>
      <c r="G9" s="117">
        <f t="shared" si="0"/>
        <v>3622</v>
      </c>
      <c r="H9" s="118">
        <f>G9*100/G19</f>
        <v>4.9181218260326425</v>
      </c>
      <c r="I9" s="117">
        <f t="shared" si="1"/>
        <v>58268501</v>
      </c>
      <c r="J9" s="119">
        <f>I9*100/I19</f>
        <v>13.134259111814478</v>
      </c>
    </row>
    <row r="10" spans="1:10" ht="15.75">
      <c r="A10" s="89" t="s">
        <v>96</v>
      </c>
      <c r="B10" s="116">
        <f>418+8</f>
        <v>426</v>
      </c>
      <c r="C10" s="116">
        <f>685+8</f>
        <v>693</v>
      </c>
      <c r="D10" s="116">
        <f>33353779+130198</f>
        <v>33483977</v>
      </c>
      <c r="E10" s="116">
        <f>1133+21</f>
        <v>1154</v>
      </c>
      <c r="F10" s="116">
        <f>15662071+1294533</f>
        <v>16956604</v>
      </c>
      <c r="G10" s="117">
        <f t="shared" si="0"/>
        <v>1847</v>
      </c>
      <c r="H10" s="118">
        <f>G10*100/G19</f>
        <v>2.507943404937132</v>
      </c>
      <c r="I10" s="117">
        <f t="shared" si="1"/>
        <v>50440581</v>
      </c>
      <c r="J10" s="119">
        <f>I10*100/I19</f>
        <v>11.369773535180975</v>
      </c>
    </row>
    <row r="11" spans="1:10" ht="15.75">
      <c r="A11" s="89" t="s">
        <v>97</v>
      </c>
      <c r="B11" s="116">
        <f>497+69</f>
        <v>566</v>
      </c>
      <c r="C11" s="116">
        <f>2+53</f>
        <v>55</v>
      </c>
      <c r="D11" s="116">
        <f>643130+816286</f>
        <v>1459416</v>
      </c>
      <c r="E11" s="116">
        <f>2273+214</f>
        <v>2487</v>
      </c>
      <c r="F11" s="116">
        <f>22404130+12452360</f>
        <v>34856490</v>
      </c>
      <c r="G11" s="117">
        <f t="shared" si="0"/>
        <v>2542</v>
      </c>
      <c r="H11" s="118">
        <f>G11*100/G19</f>
        <v>3.451647068408332</v>
      </c>
      <c r="I11" s="117">
        <f t="shared" si="1"/>
        <v>36315906</v>
      </c>
      <c r="J11" s="119">
        <f>I11*100/I19</f>
        <v>8.18594113626328</v>
      </c>
    </row>
    <row r="12" spans="1:10" ht="15.75">
      <c r="A12" s="89" t="s">
        <v>98</v>
      </c>
      <c r="B12" s="116">
        <f>828+64</f>
        <v>892</v>
      </c>
      <c r="C12" s="116">
        <f>127+21</f>
        <v>148</v>
      </c>
      <c r="D12" s="116">
        <f>1784295+3199838</f>
        <v>4984133</v>
      </c>
      <c r="E12" s="116">
        <f>3397+233</f>
        <v>3630</v>
      </c>
      <c r="F12" s="116">
        <f>21629642+8453506</f>
        <v>30083148</v>
      </c>
      <c r="G12" s="117">
        <f t="shared" si="0"/>
        <v>3778</v>
      </c>
      <c r="H12" s="118">
        <f>G12*100/G19</f>
        <v>5.129945957689488</v>
      </c>
      <c r="I12" s="117">
        <f t="shared" si="1"/>
        <v>35067281</v>
      </c>
      <c r="J12" s="119">
        <f>I12*100/I19</f>
        <v>7.904489511422453</v>
      </c>
    </row>
    <row r="13" spans="1:10" ht="15.75">
      <c r="A13" s="89" t="s">
        <v>99</v>
      </c>
      <c r="B13" s="116">
        <f>677+14</f>
        <v>691</v>
      </c>
      <c r="C13" s="116">
        <f>535</f>
        <v>535</v>
      </c>
      <c r="D13" s="116">
        <f>1592278</f>
        <v>1592278</v>
      </c>
      <c r="E13" s="116">
        <f>2901+43</f>
        <v>2944</v>
      </c>
      <c r="F13" s="116">
        <f>13049943+257910</f>
        <v>13307853</v>
      </c>
      <c r="G13" s="117">
        <f t="shared" si="0"/>
        <v>3479</v>
      </c>
      <c r="H13" s="118">
        <f>G13*100/G19</f>
        <v>4.723949705347201</v>
      </c>
      <c r="I13" s="117">
        <f t="shared" si="1"/>
        <v>14900131</v>
      </c>
      <c r="J13" s="119">
        <f>I13*100/I19</f>
        <v>3.358627354322696</v>
      </c>
    </row>
    <row r="14" spans="1:10" ht="15.75">
      <c r="A14" s="89" t="s">
        <v>100</v>
      </c>
      <c r="B14" s="116">
        <f>237+25</f>
        <v>262</v>
      </c>
      <c r="C14" s="116">
        <f>139+6</f>
        <v>145</v>
      </c>
      <c r="D14" s="116">
        <f>539601+191711</f>
        <v>731312</v>
      </c>
      <c r="E14" s="116">
        <f>1786+69</f>
        <v>1855</v>
      </c>
      <c r="F14" s="116">
        <f>10713570+1200121</f>
        <v>11913691</v>
      </c>
      <c r="G14" s="117">
        <f t="shared" si="0"/>
        <v>2000</v>
      </c>
      <c r="H14" s="118">
        <f>G14*100/G19</f>
        <v>2.7156939956005757</v>
      </c>
      <c r="I14" s="117">
        <f t="shared" si="1"/>
        <v>12645003</v>
      </c>
      <c r="J14" s="119">
        <f>I14*100/I19</f>
        <v>2.8503006430810944</v>
      </c>
    </row>
    <row r="15" spans="1:10" ht="15.75">
      <c r="A15" s="89" t="s">
        <v>101</v>
      </c>
      <c r="B15" s="116">
        <f>335+95</f>
        <v>430</v>
      </c>
      <c r="C15" s="116">
        <f>207+8</f>
        <v>215</v>
      </c>
      <c r="D15" s="116">
        <f>207978+86134</f>
        <v>294112</v>
      </c>
      <c r="E15" s="116">
        <f>2123+291</f>
        <v>2414</v>
      </c>
      <c r="F15" s="116">
        <f>2655835+1694133</f>
        <v>4349968</v>
      </c>
      <c r="G15" s="117">
        <f t="shared" si="0"/>
        <v>2629</v>
      </c>
      <c r="H15" s="118">
        <f>G15*100/G19</f>
        <v>3.5697797572169567</v>
      </c>
      <c r="I15" s="117">
        <f t="shared" si="1"/>
        <v>4644080</v>
      </c>
      <c r="J15" s="119">
        <f>I15*100/I19</f>
        <v>1.046818589961588</v>
      </c>
    </row>
    <row r="16" spans="1:10" ht="15.75">
      <c r="A16" s="89" t="s">
        <v>102</v>
      </c>
      <c r="B16" s="116">
        <f>226+13</f>
        <v>239</v>
      </c>
      <c r="C16" s="116">
        <f>64+3</f>
        <v>67</v>
      </c>
      <c r="D16" s="116">
        <f>535815+34440</f>
        <v>570255</v>
      </c>
      <c r="E16" s="116">
        <f>468+17</f>
        <v>485</v>
      </c>
      <c r="F16" s="116">
        <f>3620265+197768</f>
        <v>3818033</v>
      </c>
      <c r="G16" s="117">
        <f t="shared" si="0"/>
        <v>552</v>
      </c>
      <c r="H16" s="118">
        <f>G16*100/G19</f>
        <v>0.749531542785759</v>
      </c>
      <c r="I16" s="117">
        <f t="shared" si="1"/>
        <v>4388288</v>
      </c>
      <c r="J16" s="119">
        <f>I16*100/I19</f>
        <v>0.9891607070733831</v>
      </c>
    </row>
    <row r="17" spans="1:10" ht="15.75">
      <c r="A17" s="89" t="s">
        <v>103</v>
      </c>
      <c r="B17" s="116">
        <f>414+9</f>
        <v>423</v>
      </c>
      <c r="C17" s="116">
        <f>172</f>
        <v>172</v>
      </c>
      <c r="D17" s="116">
        <f>111214</f>
        <v>111214</v>
      </c>
      <c r="E17" s="116">
        <f>467+11</f>
        <v>478</v>
      </c>
      <c r="F17" s="116">
        <f>681652+27021</f>
        <v>708673</v>
      </c>
      <c r="G17" s="117">
        <f t="shared" si="0"/>
        <v>650</v>
      </c>
      <c r="H17" s="118">
        <f>G17*100/G19</f>
        <v>0.8826005485701871</v>
      </c>
      <c r="I17" s="117">
        <f t="shared" si="1"/>
        <v>819887</v>
      </c>
      <c r="J17" s="119">
        <f>I17*100/I19</f>
        <v>0.18481011379387013</v>
      </c>
    </row>
    <row r="18" spans="1:10" ht="16.5" thickBot="1">
      <c r="A18" s="89" t="s">
        <v>104</v>
      </c>
      <c r="B18" s="116">
        <f>B19-B8-B9-B10-B11-B12-B13-B14-B15-B16-B17</f>
        <v>2705</v>
      </c>
      <c r="C18" s="116">
        <f>C19-C8-C9-C10-C11-C12-C13-C14-C15-C16-C17</f>
        <v>5494</v>
      </c>
      <c r="D18" s="116">
        <f>D19-D8-D9-D10-D11-D12-D13-D14-D15-D16-D17</f>
        <v>25622450</v>
      </c>
      <c r="E18" s="116">
        <f>E19-E8-E9-E10-E11-E12-E13-E14-E15-E16-E17</f>
        <v>13998</v>
      </c>
      <c r="F18" s="116">
        <f>F19-F8-F9-F10-F11-F12-F13-F14-F15-F16-F17</f>
        <v>86647164</v>
      </c>
      <c r="G18" s="117">
        <f t="shared" si="0"/>
        <v>19492</v>
      </c>
      <c r="H18" s="118">
        <f>G18*100/G19</f>
        <v>26.46715368112321</v>
      </c>
      <c r="I18" s="117">
        <f t="shared" si="1"/>
        <v>112269614</v>
      </c>
      <c r="J18" s="119">
        <f>I18*100/I19</f>
        <v>25.30660949488634</v>
      </c>
    </row>
    <row r="19" spans="1:10" ht="17.25" thickBot="1" thickTop="1">
      <c r="A19" s="79" t="s">
        <v>105</v>
      </c>
      <c r="B19" s="120">
        <v>10720</v>
      </c>
      <c r="C19" s="120">
        <f>10141+2490</f>
        <v>12631</v>
      </c>
      <c r="D19" s="120">
        <f>114502049+1003748</f>
        <v>115505797</v>
      </c>
      <c r="E19" s="120">
        <f>57971+3044</f>
        <v>61015</v>
      </c>
      <c r="F19" s="120">
        <f>326086262+2045458</f>
        <v>328131720</v>
      </c>
      <c r="G19" s="120">
        <f t="shared" si="0"/>
        <v>73646</v>
      </c>
      <c r="H19" s="121">
        <f>SUM(H8:H18)</f>
        <v>100</v>
      </c>
      <c r="I19" s="120">
        <f t="shared" si="1"/>
        <v>443637517</v>
      </c>
      <c r="J19" s="122">
        <f>SUM(J8:J18)</f>
        <v>100.00000000000001</v>
      </c>
    </row>
    <row r="20" ht="13.5" thickTop="1"/>
  </sheetData>
  <printOptions gridLines="1"/>
  <pageMargins left="0.75" right="0.75" top="1" bottom="1" header="0.5" footer="0.5"/>
  <pageSetup horizontalDpi="1200" verticalDpi="1200" orientation="landscape" paperSize="9" scale="75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J15" sqref="J15"/>
    </sheetView>
  </sheetViews>
  <sheetFormatPr defaultColWidth="9.140625" defaultRowHeight="12.75"/>
  <cols>
    <col min="1" max="1" width="21.140625" style="0" customWidth="1"/>
    <col min="2" max="2" width="11.00390625" style="0" customWidth="1"/>
    <col min="3" max="3" width="10.8515625" style="0" customWidth="1"/>
    <col min="5" max="5" width="16.140625" style="0" customWidth="1"/>
  </cols>
  <sheetData>
    <row r="1" spans="1:5" ht="18">
      <c r="A1" s="24" t="s">
        <v>106</v>
      </c>
      <c r="C1" s="98"/>
      <c r="D1" s="98"/>
      <c r="E1" s="98"/>
    </row>
    <row r="2" spans="1:5" ht="15">
      <c r="A2" s="98"/>
      <c r="B2" s="98"/>
      <c r="C2" s="98"/>
      <c r="D2" s="98"/>
      <c r="E2" s="98"/>
    </row>
    <row r="3" spans="1:5" ht="15">
      <c r="A3" s="98"/>
      <c r="B3" s="98"/>
      <c r="C3" s="98"/>
      <c r="D3" s="98"/>
      <c r="E3" s="98"/>
    </row>
    <row r="4" spans="1:5" ht="15.75" thickBot="1">
      <c r="A4" s="98" t="s">
        <v>107</v>
      </c>
      <c r="B4" s="98"/>
      <c r="C4" s="98"/>
      <c r="D4" s="98"/>
      <c r="E4" s="98"/>
    </row>
    <row r="5" spans="1:5" ht="17.25" thickBot="1" thickTop="1">
      <c r="A5" s="123" t="s">
        <v>108</v>
      </c>
      <c r="B5" s="124"/>
      <c r="C5" s="125" t="s">
        <v>109</v>
      </c>
      <c r="D5" s="103"/>
      <c r="E5" s="126"/>
    </row>
    <row r="6" spans="1:5" ht="16.5" thickBot="1">
      <c r="A6" s="105" t="s">
        <v>110</v>
      </c>
      <c r="B6" s="127" t="s">
        <v>111</v>
      </c>
      <c r="C6" s="128" t="s">
        <v>112</v>
      </c>
      <c r="D6" s="129" t="s">
        <v>113</v>
      </c>
      <c r="E6" s="130"/>
    </row>
    <row r="7" spans="1:5" ht="15.75" thickBot="1">
      <c r="A7" s="111"/>
      <c r="B7" s="131" t="s">
        <v>114</v>
      </c>
      <c r="C7" s="131" t="s">
        <v>115</v>
      </c>
      <c r="D7" s="132" t="s">
        <v>116</v>
      </c>
      <c r="E7" s="133" t="s">
        <v>117</v>
      </c>
    </row>
    <row r="8" spans="1:5" ht="15.75">
      <c r="A8" s="10" t="s">
        <v>9</v>
      </c>
      <c r="B8" s="134">
        <v>54</v>
      </c>
      <c r="C8" s="134">
        <v>54</v>
      </c>
      <c r="D8" s="134">
        <v>40</v>
      </c>
      <c r="E8" s="135">
        <f aca="true" t="shared" si="0" ref="E8:E16">D8/C8*100</f>
        <v>74.07407407407408</v>
      </c>
    </row>
    <row r="9" spans="1:5" ht="15.75">
      <c r="A9" s="10" t="s">
        <v>10</v>
      </c>
      <c r="B9" s="136">
        <v>28</v>
      </c>
      <c r="C9" s="136">
        <v>28</v>
      </c>
      <c r="D9" s="136">
        <v>10</v>
      </c>
      <c r="E9" s="137">
        <f t="shared" si="0"/>
        <v>35.714285714285715</v>
      </c>
    </row>
    <row r="10" spans="1:5" ht="15.75">
      <c r="A10" s="10" t="s">
        <v>11</v>
      </c>
      <c r="B10" s="136">
        <v>5</v>
      </c>
      <c r="C10" s="136">
        <v>5</v>
      </c>
      <c r="D10" s="136">
        <v>4</v>
      </c>
      <c r="E10" s="137">
        <f t="shared" si="0"/>
        <v>80</v>
      </c>
    </row>
    <row r="11" spans="1:5" ht="15.75">
      <c r="A11" s="10" t="s">
        <v>12</v>
      </c>
      <c r="B11" s="136">
        <v>23</v>
      </c>
      <c r="C11" s="136">
        <v>23</v>
      </c>
      <c r="D11" s="136">
        <v>2</v>
      </c>
      <c r="E11" s="137">
        <f t="shared" si="0"/>
        <v>8.695652173913043</v>
      </c>
    </row>
    <row r="12" spans="1:5" ht="15.75">
      <c r="A12" s="10" t="s">
        <v>13</v>
      </c>
      <c r="B12" s="136">
        <v>18</v>
      </c>
      <c r="C12" s="136">
        <v>18</v>
      </c>
      <c r="D12" s="136">
        <v>9</v>
      </c>
      <c r="E12" s="137">
        <f t="shared" si="0"/>
        <v>50</v>
      </c>
    </row>
    <row r="13" spans="1:5" ht="15.75">
      <c r="A13" s="10" t="s">
        <v>14</v>
      </c>
      <c r="B13" s="136">
        <v>8</v>
      </c>
      <c r="C13" s="136">
        <v>8</v>
      </c>
      <c r="D13" s="136">
        <v>8</v>
      </c>
      <c r="E13" s="138">
        <f t="shared" si="0"/>
        <v>100</v>
      </c>
    </row>
    <row r="14" spans="1:5" ht="15.75">
      <c r="A14" s="10" t="s">
        <v>15</v>
      </c>
      <c r="B14" s="136">
        <v>4</v>
      </c>
      <c r="C14" s="136">
        <v>4</v>
      </c>
      <c r="D14" s="136">
        <v>2</v>
      </c>
      <c r="E14" s="138">
        <f t="shared" si="0"/>
        <v>50</v>
      </c>
    </row>
    <row r="15" spans="1:5" ht="16.5" thickBot="1">
      <c r="A15" s="139" t="s">
        <v>16</v>
      </c>
      <c r="B15" s="140">
        <v>21</v>
      </c>
      <c r="C15" s="140">
        <v>21</v>
      </c>
      <c r="D15" s="140">
        <v>19</v>
      </c>
      <c r="E15" s="141">
        <f t="shared" si="0"/>
        <v>90.47619047619048</v>
      </c>
    </row>
    <row r="16" spans="1:5" ht="17.25" thickBot="1" thickTop="1">
      <c r="A16" s="142" t="s">
        <v>18</v>
      </c>
      <c r="B16" s="143">
        <f>SUM(B8:B15)</f>
        <v>161</v>
      </c>
      <c r="C16" s="143">
        <f>SUM(C8:C15)</f>
        <v>161</v>
      </c>
      <c r="D16" s="143">
        <f>SUM(D8:D15)</f>
        <v>94</v>
      </c>
      <c r="E16" s="144">
        <f t="shared" si="0"/>
        <v>58.38509316770186</v>
      </c>
    </row>
    <row r="17" spans="1:5" ht="16.5" thickTop="1">
      <c r="A17" s="145"/>
      <c r="B17" s="146"/>
      <c r="C17" s="146"/>
      <c r="D17" s="146"/>
      <c r="E17" s="147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D20" sqref="D20"/>
    </sheetView>
  </sheetViews>
  <sheetFormatPr defaultColWidth="9.140625" defaultRowHeight="12.75"/>
  <cols>
    <col min="1" max="1" width="27.140625" style="0" customWidth="1"/>
    <col min="2" max="2" width="15.140625" style="0" customWidth="1"/>
    <col min="3" max="3" width="11.140625" style="0" customWidth="1"/>
    <col min="4" max="4" width="13.00390625" style="0" customWidth="1"/>
    <col min="5" max="5" width="11.7109375" style="0" customWidth="1"/>
    <col min="6" max="6" width="15.57421875" style="0" customWidth="1"/>
    <col min="7" max="7" width="10.8515625" style="0" customWidth="1"/>
    <col min="9" max="9" width="13.8515625" style="0" customWidth="1"/>
  </cols>
  <sheetData>
    <row r="1" spans="2:10" ht="20.25">
      <c r="B1" s="99"/>
      <c r="C1" s="148" t="s">
        <v>118</v>
      </c>
      <c r="D1" s="98"/>
      <c r="E1" s="98"/>
      <c r="F1" s="98"/>
      <c r="G1" s="98"/>
      <c r="H1" s="98"/>
      <c r="I1" s="98"/>
      <c r="J1" s="98"/>
    </row>
    <row r="2" spans="2:10" ht="20.25">
      <c r="B2" s="99"/>
      <c r="C2" s="148" t="s">
        <v>119</v>
      </c>
      <c r="D2" s="98"/>
      <c r="E2" s="98"/>
      <c r="F2" s="98"/>
      <c r="G2" s="98"/>
      <c r="H2" s="98"/>
      <c r="I2" s="98"/>
      <c r="J2" s="98"/>
    </row>
    <row r="3" spans="1:10" ht="18">
      <c r="A3" s="98"/>
      <c r="B3" s="98"/>
      <c r="D3" s="24" t="s">
        <v>120</v>
      </c>
      <c r="F3" s="98"/>
      <c r="G3" s="98"/>
      <c r="H3" s="98"/>
      <c r="I3" s="98"/>
      <c r="J3" s="98"/>
    </row>
    <row r="4" spans="1:10" ht="15.75" thickBot="1">
      <c r="A4" s="98" t="s">
        <v>121</v>
      </c>
      <c r="B4" s="98"/>
      <c r="C4" s="98"/>
      <c r="D4" s="98"/>
      <c r="E4" s="98"/>
      <c r="F4" s="98"/>
      <c r="G4" s="98"/>
      <c r="H4" s="98"/>
      <c r="I4" s="98"/>
      <c r="J4" s="98"/>
    </row>
    <row r="5" spans="1:10" ht="19.5" thickBot="1" thickTop="1">
      <c r="A5" s="100"/>
      <c r="B5" s="101" t="s">
        <v>33</v>
      </c>
      <c r="C5" s="102" t="s">
        <v>85</v>
      </c>
      <c r="D5" s="103"/>
      <c r="E5" s="103"/>
      <c r="F5" s="103"/>
      <c r="G5" s="103"/>
      <c r="H5" s="103"/>
      <c r="I5" s="103"/>
      <c r="J5" s="104"/>
    </row>
    <row r="6" spans="1:10" ht="16.5" thickBot="1">
      <c r="A6" s="105" t="s">
        <v>32</v>
      </c>
      <c r="B6" s="106" t="s">
        <v>50</v>
      </c>
      <c r="C6" s="107" t="s">
        <v>86</v>
      </c>
      <c r="D6" s="108"/>
      <c r="E6" s="107" t="s">
        <v>87</v>
      </c>
      <c r="F6" s="108"/>
      <c r="G6" s="107" t="s">
        <v>88</v>
      </c>
      <c r="H6" s="109"/>
      <c r="I6" s="109"/>
      <c r="J6" s="110"/>
    </row>
    <row r="7" spans="1:10" ht="15.75" thickBot="1">
      <c r="A7" s="111"/>
      <c r="B7" s="112" t="s">
        <v>89</v>
      </c>
      <c r="C7" s="113" t="s">
        <v>90</v>
      </c>
      <c r="D7" s="113" t="s">
        <v>91</v>
      </c>
      <c r="E7" s="113" t="s">
        <v>90</v>
      </c>
      <c r="F7" s="113" t="s">
        <v>92</v>
      </c>
      <c r="G7" s="114" t="s">
        <v>90</v>
      </c>
      <c r="H7" s="114" t="s">
        <v>93</v>
      </c>
      <c r="I7" s="114" t="s">
        <v>92</v>
      </c>
      <c r="J7" s="115" t="s">
        <v>93</v>
      </c>
    </row>
    <row r="8" spans="1:10" ht="15.75">
      <c r="A8" s="89" t="s">
        <v>94</v>
      </c>
      <c r="B8" s="116">
        <f>1083+115</f>
        <v>1198</v>
      </c>
      <c r="C8" s="149">
        <f>1641+57</f>
        <v>1698</v>
      </c>
      <c r="D8" s="116">
        <f>19567646+787895</f>
        <v>20355541</v>
      </c>
      <c r="E8" s="116">
        <f>9724+1100</f>
        <v>10824</v>
      </c>
      <c r="F8" s="116">
        <f>32194326+10847213</f>
        <v>43041539</v>
      </c>
      <c r="G8" s="117">
        <f aca="true" t="shared" si="0" ref="G8:G17">C8+E8</f>
        <v>12522</v>
      </c>
      <c r="H8" s="118">
        <f>G8*100/G18</f>
        <v>40.46403412395786</v>
      </c>
      <c r="I8" s="117">
        <f aca="true" t="shared" si="1" ref="I8:I18">D8+F8</f>
        <v>63397080</v>
      </c>
      <c r="J8" s="119">
        <f>I8*100/I18</f>
        <v>26.540202109431206</v>
      </c>
    </row>
    <row r="9" spans="1:10" ht="15.75">
      <c r="A9" s="89" t="s">
        <v>122</v>
      </c>
      <c r="B9" s="116">
        <f>102+657</f>
        <v>759</v>
      </c>
      <c r="C9" s="116">
        <f>23+150</f>
        <v>173</v>
      </c>
      <c r="D9" s="116">
        <f>4016124+2359536</f>
        <v>6375660</v>
      </c>
      <c r="E9" s="116">
        <f>414+3458</f>
        <v>3872</v>
      </c>
      <c r="F9" s="116">
        <f>20162525+27913206</f>
        <v>48075731</v>
      </c>
      <c r="G9" s="117">
        <f t="shared" si="0"/>
        <v>4045</v>
      </c>
      <c r="H9" s="118">
        <f>G9*100/G18</f>
        <v>13.07115620758741</v>
      </c>
      <c r="I9" s="117">
        <f t="shared" si="1"/>
        <v>54451391</v>
      </c>
      <c r="J9" s="119">
        <f>I9*100/I18</f>
        <v>22.79522845972817</v>
      </c>
    </row>
    <row r="10" spans="1:10" ht="15.75">
      <c r="A10" s="89" t="s">
        <v>95</v>
      </c>
      <c r="B10" s="116">
        <f>188+8</f>
        <v>196</v>
      </c>
      <c r="C10" s="116">
        <f>656+1</f>
        <v>657</v>
      </c>
      <c r="D10" s="116">
        <f>14425481+2652</f>
        <v>14428133</v>
      </c>
      <c r="E10" s="116">
        <f>1178+149</f>
        <v>1327</v>
      </c>
      <c r="F10" s="116">
        <f>20263157+3785278</f>
        <v>24048435</v>
      </c>
      <c r="G10" s="117">
        <f t="shared" si="0"/>
        <v>1984</v>
      </c>
      <c r="H10" s="118">
        <f>G10*100/G18</f>
        <v>6.411167840754863</v>
      </c>
      <c r="I10" s="117">
        <f t="shared" si="1"/>
        <v>38476568</v>
      </c>
      <c r="J10" s="119">
        <f>I10*100/I18</f>
        <v>16.10761712049314</v>
      </c>
    </row>
    <row r="11" spans="1:10" ht="15.75">
      <c r="A11" s="89" t="s">
        <v>123</v>
      </c>
      <c r="B11" s="116">
        <f>94+28</f>
        <v>122</v>
      </c>
      <c r="C11" s="116">
        <f>64+1</f>
        <v>65</v>
      </c>
      <c r="D11" s="116">
        <f>128667+25200</f>
        <v>153867</v>
      </c>
      <c r="E11" s="116">
        <f>953+182</f>
        <v>1135</v>
      </c>
      <c r="F11" s="116">
        <f>5157132+3449532</f>
        <v>8606664</v>
      </c>
      <c r="G11" s="117">
        <f t="shared" si="0"/>
        <v>1200</v>
      </c>
      <c r="H11" s="118">
        <f>G11*100/G18</f>
        <v>3.8777224843275384</v>
      </c>
      <c r="I11" s="117">
        <f t="shared" si="1"/>
        <v>8760531</v>
      </c>
      <c r="J11" s="119">
        <f>I11*100/I18</f>
        <v>3.667460131064987</v>
      </c>
    </row>
    <row r="12" spans="1:10" ht="15.75">
      <c r="A12" s="89" t="s">
        <v>96</v>
      </c>
      <c r="B12" s="116">
        <f>112+2</f>
        <v>114</v>
      </c>
      <c r="C12" s="116">
        <f>514+8</f>
        <v>522</v>
      </c>
      <c r="D12" s="116">
        <f>2937415+130198</f>
        <v>3067613</v>
      </c>
      <c r="E12" s="116">
        <f>213+1</f>
        <v>214</v>
      </c>
      <c r="F12" s="116">
        <f>4656141+6300</f>
        <v>4662441</v>
      </c>
      <c r="G12" s="117">
        <f t="shared" si="0"/>
        <v>736</v>
      </c>
      <c r="H12" s="118">
        <f>G12*100/G18</f>
        <v>2.3783364570542234</v>
      </c>
      <c r="I12" s="117">
        <f t="shared" si="1"/>
        <v>7730054</v>
      </c>
      <c r="J12" s="119">
        <f>I12*100/I18</f>
        <v>3.2360669525602304</v>
      </c>
    </row>
    <row r="13" spans="1:10" ht="15.75">
      <c r="A13" s="89" t="s">
        <v>101</v>
      </c>
      <c r="B13" s="116">
        <f>262+75</f>
        <v>337</v>
      </c>
      <c r="C13" s="116">
        <f>174+8</f>
        <v>182</v>
      </c>
      <c r="D13" s="116">
        <f>176774+86134</f>
        <v>262908</v>
      </c>
      <c r="E13" s="116">
        <f>1731+284</f>
        <v>2015</v>
      </c>
      <c r="F13" s="116">
        <f>2402205+1672236</f>
        <v>4074441</v>
      </c>
      <c r="G13" s="117">
        <f t="shared" si="0"/>
        <v>2197</v>
      </c>
      <c r="H13" s="118">
        <f>G13*100/G18</f>
        <v>7.099463581723001</v>
      </c>
      <c r="I13" s="117">
        <f t="shared" si="1"/>
        <v>4337349</v>
      </c>
      <c r="J13" s="119">
        <f>I13*100/I18</f>
        <v>1.8157637398936881</v>
      </c>
    </row>
    <row r="14" spans="1:10" ht="15.75">
      <c r="A14" s="89" t="s">
        <v>99</v>
      </c>
      <c r="B14" s="116">
        <v>57</v>
      </c>
      <c r="C14" s="116">
        <v>103</v>
      </c>
      <c r="D14" s="116">
        <v>181741</v>
      </c>
      <c r="E14" s="116">
        <v>259</v>
      </c>
      <c r="F14" s="116">
        <v>1448290</v>
      </c>
      <c r="G14" s="117">
        <f t="shared" si="0"/>
        <v>362</v>
      </c>
      <c r="H14" s="118">
        <f>G14*100/G18</f>
        <v>1.169779616105474</v>
      </c>
      <c r="I14" s="117">
        <f t="shared" si="1"/>
        <v>1630031</v>
      </c>
      <c r="J14" s="119">
        <f>I14*100/I18</f>
        <v>0.6823871412474873</v>
      </c>
    </row>
    <row r="15" spans="1:10" ht="15.75">
      <c r="A15" s="89" t="s">
        <v>124</v>
      </c>
      <c r="B15" s="116">
        <f>18+1</f>
        <v>19</v>
      </c>
      <c r="C15" s="116">
        <f>63</f>
        <v>63</v>
      </c>
      <c r="D15" s="116">
        <f>571685</f>
        <v>571685</v>
      </c>
      <c r="E15" s="116">
        <f>33+6</f>
        <v>39</v>
      </c>
      <c r="F15" s="116">
        <f>194960+301266</f>
        <v>496226</v>
      </c>
      <c r="G15" s="117">
        <f t="shared" si="0"/>
        <v>102</v>
      </c>
      <c r="H15" s="118">
        <f>G15*100/G18</f>
        <v>0.32960641116784073</v>
      </c>
      <c r="I15" s="117">
        <f t="shared" si="1"/>
        <v>1067911</v>
      </c>
      <c r="J15" s="119">
        <f>I15*100/I18</f>
        <v>0.44706434073753537</v>
      </c>
    </row>
    <row r="16" spans="1:10" ht="15.75">
      <c r="A16" s="89" t="s">
        <v>125</v>
      </c>
      <c r="B16" s="116">
        <f>231+8</f>
        <v>239</v>
      </c>
      <c r="C16" s="116">
        <f>8</f>
        <v>8</v>
      </c>
      <c r="D16" s="116">
        <v>6420</v>
      </c>
      <c r="E16" s="116">
        <f>309+9</f>
        <v>318</v>
      </c>
      <c r="F16" s="116">
        <f>804165+16410</f>
        <v>820575</v>
      </c>
      <c r="G16" s="117">
        <f t="shared" si="0"/>
        <v>326</v>
      </c>
      <c r="H16" s="118">
        <f>G16*100/G18</f>
        <v>1.053447941575648</v>
      </c>
      <c r="I16" s="117">
        <f t="shared" si="1"/>
        <v>826995</v>
      </c>
      <c r="J16" s="119">
        <f>I16*100/I18</f>
        <v>0.3462086020915957</v>
      </c>
    </row>
    <row r="17" spans="1:10" ht="16.5" thickBot="1">
      <c r="A17" s="89" t="s">
        <v>104</v>
      </c>
      <c r="B17" s="150">
        <f>B18-B8-B9-B10-B11-B12-B13-B14-B15-B16</f>
        <v>1022</v>
      </c>
      <c r="C17" s="116">
        <f>C18-C8-C9-C10-C11-C12-C13-C14-C15-C16</f>
        <v>2054</v>
      </c>
      <c r="D17" s="116">
        <f>D18-D8-D9-D10-D11-D12-D13-D14-D15-D16</f>
        <v>22677634</v>
      </c>
      <c r="E17" s="116">
        <f>E18-E8-E9-E10-E11-E12-E13-E14-E15-E16</f>
        <v>5418</v>
      </c>
      <c r="F17" s="116">
        <f>F18-F8-F9-F10-F11-F12-F13-F14-F15-F16</f>
        <v>35516337</v>
      </c>
      <c r="G17" s="117">
        <f t="shared" si="0"/>
        <v>7472</v>
      </c>
      <c r="H17" s="118">
        <f>G17*100/G18</f>
        <v>24.145285335746138</v>
      </c>
      <c r="I17" s="117">
        <f t="shared" si="1"/>
        <v>58193971</v>
      </c>
      <c r="J17" s="119">
        <f>I17*100/I18</f>
        <v>24.362001402751964</v>
      </c>
    </row>
    <row r="18" spans="1:10" ht="17.25" thickBot="1" thickTop="1">
      <c r="A18" s="79" t="s">
        <v>105</v>
      </c>
      <c r="B18" s="151">
        <v>4063</v>
      </c>
      <c r="C18" s="80">
        <v>5525</v>
      </c>
      <c r="D18" s="120">
        <v>68081202</v>
      </c>
      <c r="E18" s="120">
        <v>25421</v>
      </c>
      <c r="F18" s="120">
        <v>170790679</v>
      </c>
      <c r="G18" s="120">
        <f>SUM(G8:G17)</f>
        <v>30946</v>
      </c>
      <c r="H18" s="121">
        <f>SUM(H8:H17)</f>
        <v>100</v>
      </c>
      <c r="I18" s="120">
        <f t="shared" si="1"/>
        <v>238871881</v>
      </c>
      <c r="J18" s="122">
        <f>SUM(J8:J17)</f>
        <v>100</v>
      </c>
    </row>
    <row r="19" spans="1:10" ht="16.5" thickTop="1">
      <c r="A19" s="152"/>
      <c r="B19" s="153"/>
      <c r="C19" s="153"/>
      <c r="D19" s="153"/>
      <c r="E19" s="153"/>
      <c r="F19" s="153"/>
      <c r="G19" s="153"/>
      <c r="H19" s="154"/>
      <c r="I19" s="153"/>
      <c r="J19" s="155"/>
    </row>
    <row r="20" spans="1:10" ht="15.75">
      <c r="A20" s="156" t="s">
        <v>126</v>
      </c>
      <c r="B20" s="157"/>
      <c r="C20" s="157"/>
      <c r="D20" s="157"/>
      <c r="E20" s="157"/>
      <c r="F20" s="157"/>
      <c r="G20" s="157"/>
      <c r="H20" s="98"/>
      <c r="I20" s="98"/>
      <c r="J20" s="98"/>
    </row>
    <row r="21" spans="1:10" ht="15">
      <c r="A21" s="98" t="s">
        <v>127</v>
      </c>
      <c r="B21" s="157"/>
      <c r="C21" s="157"/>
      <c r="D21" s="157"/>
      <c r="E21" s="157"/>
      <c r="F21" s="157"/>
      <c r="G21" s="157"/>
      <c r="H21" s="98"/>
      <c r="I21" s="98"/>
      <c r="J21" s="98"/>
    </row>
  </sheetData>
  <printOptions/>
  <pageMargins left="0.75" right="0.75" top="1" bottom="1" header="0.4921259845" footer="0.4921259845"/>
  <pageSetup horizontalDpi="1200" verticalDpi="12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4">
      <selection activeCell="F27" sqref="E27:F29"/>
    </sheetView>
  </sheetViews>
  <sheetFormatPr defaultColWidth="9.140625" defaultRowHeight="12.75"/>
  <cols>
    <col min="1" max="1" width="21.57421875" style="0" customWidth="1"/>
    <col min="5" max="5" width="10.7109375" style="0" customWidth="1"/>
    <col min="6" max="6" width="11.421875" style="0" customWidth="1"/>
    <col min="7" max="7" width="12.140625" style="0" customWidth="1"/>
    <col min="9" max="9" width="11.28125" style="0" customWidth="1"/>
    <col min="10" max="10" width="14.00390625" style="0" customWidth="1"/>
  </cols>
  <sheetData>
    <row r="1" spans="1:9" ht="16.5">
      <c r="A1" s="98"/>
      <c r="B1" s="158" t="s">
        <v>128</v>
      </c>
      <c r="D1" s="98"/>
      <c r="F1" s="98"/>
      <c r="G1" s="98"/>
      <c r="H1" s="98"/>
      <c r="I1" s="98"/>
    </row>
    <row r="2" spans="1:9" ht="15">
      <c r="A2" s="98"/>
      <c r="B2" s="98"/>
      <c r="C2" s="98"/>
      <c r="D2" s="98"/>
      <c r="E2" s="98"/>
      <c r="F2" s="98"/>
      <c r="G2" s="98"/>
      <c r="H2" s="98"/>
      <c r="I2" s="98"/>
    </row>
    <row r="3" spans="1:9" ht="15.75" thickBot="1">
      <c r="A3" s="98" t="s">
        <v>129</v>
      </c>
      <c r="B3" s="98"/>
      <c r="C3" s="98"/>
      <c r="D3" s="98"/>
      <c r="E3" s="98"/>
      <c r="F3" s="98"/>
      <c r="G3" s="98"/>
      <c r="H3" s="98"/>
      <c r="I3" s="98"/>
    </row>
    <row r="4" spans="1:10" ht="17.25" thickBot="1" thickTop="1">
      <c r="A4" s="3" t="s">
        <v>130</v>
      </c>
      <c r="B4" s="159" t="s">
        <v>131</v>
      </c>
      <c r="C4" s="160" t="s">
        <v>132</v>
      </c>
      <c r="D4" s="161"/>
      <c r="E4" s="159" t="s">
        <v>133</v>
      </c>
      <c r="F4" s="160" t="s">
        <v>134</v>
      </c>
      <c r="G4" s="161"/>
      <c r="H4" s="162" t="s">
        <v>135</v>
      </c>
      <c r="I4" s="163" t="s">
        <v>136</v>
      </c>
      <c r="J4" s="164" t="s">
        <v>137</v>
      </c>
    </row>
    <row r="5" spans="1:10" ht="16.5" thickBot="1">
      <c r="A5" s="39" t="s">
        <v>110</v>
      </c>
      <c r="B5" s="165" t="s">
        <v>114</v>
      </c>
      <c r="C5" s="166" t="s">
        <v>138</v>
      </c>
      <c r="D5" s="167" t="s">
        <v>139</v>
      </c>
      <c r="E5" s="165" t="s">
        <v>114</v>
      </c>
      <c r="F5" s="168" t="s">
        <v>140</v>
      </c>
      <c r="G5" s="169" t="s">
        <v>141</v>
      </c>
      <c r="H5" s="170"/>
      <c r="I5" s="39"/>
      <c r="J5" s="171" t="s">
        <v>142</v>
      </c>
    </row>
    <row r="6" spans="1:10" ht="16.5" thickTop="1">
      <c r="A6" s="73" t="s">
        <v>9</v>
      </c>
      <c r="B6" s="172">
        <v>755</v>
      </c>
      <c r="C6" s="172">
        <v>574</v>
      </c>
      <c r="D6" s="173">
        <v>181</v>
      </c>
      <c r="E6" s="172">
        <v>618</v>
      </c>
      <c r="F6" s="172">
        <v>323</v>
      </c>
      <c r="G6" s="174">
        <v>295</v>
      </c>
      <c r="H6" s="172">
        <v>115</v>
      </c>
      <c r="I6" s="172">
        <v>4</v>
      </c>
      <c r="J6" s="175">
        <v>14</v>
      </c>
    </row>
    <row r="7" spans="1:10" ht="15.75">
      <c r="A7" s="89" t="s">
        <v>10</v>
      </c>
      <c r="B7" s="176">
        <v>321</v>
      </c>
      <c r="C7" s="176">
        <v>196</v>
      </c>
      <c r="D7" s="174">
        <v>125</v>
      </c>
      <c r="E7" s="176">
        <v>131</v>
      </c>
      <c r="F7" s="176">
        <v>79</v>
      </c>
      <c r="G7" s="174">
        <f aca="true" t="shared" si="0" ref="G7:G14">E7-F7</f>
        <v>52</v>
      </c>
      <c r="H7" s="176">
        <v>176</v>
      </c>
      <c r="I7" s="176">
        <v>4</v>
      </c>
      <c r="J7" s="177">
        <v>3</v>
      </c>
    </row>
    <row r="8" spans="1:10" ht="15.75">
      <c r="A8" s="89" t="s">
        <v>11</v>
      </c>
      <c r="B8" s="176">
        <v>164</v>
      </c>
      <c r="C8" s="176">
        <v>130</v>
      </c>
      <c r="D8" s="174">
        <v>34</v>
      </c>
      <c r="E8" s="176">
        <v>129</v>
      </c>
      <c r="F8" s="176">
        <v>32</v>
      </c>
      <c r="G8" s="174">
        <f t="shared" si="0"/>
        <v>97</v>
      </c>
      <c r="H8" s="176">
        <v>34</v>
      </c>
      <c r="I8" s="176">
        <v>0</v>
      </c>
      <c r="J8" s="177">
        <v>1</v>
      </c>
    </row>
    <row r="9" spans="1:10" ht="15.75">
      <c r="A9" s="89" t="s">
        <v>12</v>
      </c>
      <c r="B9" s="176">
        <v>362</v>
      </c>
      <c r="C9" s="176">
        <v>301</v>
      </c>
      <c r="D9" s="174">
        <v>61</v>
      </c>
      <c r="E9" s="176">
        <v>191</v>
      </c>
      <c r="F9" s="176">
        <v>26</v>
      </c>
      <c r="G9" s="174">
        <f t="shared" si="0"/>
        <v>165</v>
      </c>
      <c r="H9" s="176">
        <v>137</v>
      </c>
      <c r="I9" s="176">
        <v>11</v>
      </c>
      <c r="J9" s="177">
        <v>11</v>
      </c>
    </row>
    <row r="10" spans="1:10" ht="15.75">
      <c r="A10" s="89" t="s">
        <v>13</v>
      </c>
      <c r="B10" s="176">
        <v>255</v>
      </c>
      <c r="C10" s="176">
        <v>251</v>
      </c>
      <c r="D10" s="174">
        <v>4</v>
      </c>
      <c r="E10" s="176">
        <v>153</v>
      </c>
      <c r="F10" s="176">
        <v>83</v>
      </c>
      <c r="G10" s="174">
        <f t="shared" si="0"/>
        <v>70</v>
      </c>
      <c r="H10" s="176">
        <v>34</v>
      </c>
      <c r="I10" s="176">
        <v>3</v>
      </c>
      <c r="J10" s="177">
        <v>65</v>
      </c>
    </row>
    <row r="11" spans="1:10" ht="15.75">
      <c r="A11" s="89" t="s">
        <v>14</v>
      </c>
      <c r="B11" s="176">
        <v>180</v>
      </c>
      <c r="C11" s="176">
        <v>174</v>
      </c>
      <c r="D11" s="174">
        <v>6</v>
      </c>
      <c r="E11" s="176">
        <v>117</v>
      </c>
      <c r="F11" s="176">
        <v>2</v>
      </c>
      <c r="G11" s="174">
        <f t="shared" si="0"/>
        <v>115</v>
      </c>
      <c r="H11" s="176">
        <v>59</v>
      </c>
      <c r="I11" s="176">
        <v>0</v>
      </c>
      <c r="J11" s="177">
        <v>4</v>
      </c>
    </row>
    <row r="12" spans="1:10" ht="15.75">
      <c r="A12" s="89" t="s">
        <v>15</v>
      </c>
      <c r="B12" s="176">
        <v>290</v>
      </c>
      <c r="C12" s="176">
        <v>254</v>
      </c>
      <c r="D12" s="174">
        <v>36</v>
      </c>
      <c r="E12" s="176">
        <v>57</v>
      </c>
      <c r="F12" s="176">
        <v>25</v>
      </c>
      <c r="G12" s="174">
        <f t="shared" si="0"/>
        <v>32</v>
      </c>
      <c r="H12" s="176">
        <v>182</v>
      </c>
      <c r="I12" s="176">
        <v>5</v>
      </c>
      <c r="J12" s="177">
        <v>24</v>
      </c>
    </row>
    <row r="13" spans="1:10" ht="15.75">
      <c r="A13" s="178" t="s">
        <v>16</v>
      </c>
      <c r="B13" s="179">
        <v>513</v>
      </c>
      <c r="C13" s="179">
        <v>488</v>
      </c>
      <c r="D13" s="180">
        <v>25</v>
      </c>
      <c r="E13" s="179">
        <v>272</v>
      </c>
      <c r="F13" s="179">
        <v>117</v>
      </c>
      <c r="G13" s="174">
        <f t="shared" si="0"/>
        <v>155</v>
      </c>
      <c r="H13" s="179">
        <v>166</v>
      </c>
      <c r="I13" s="179">
        <v>14</v>
      </c>
      <c r="J13" s="181">
        <v>48</v>
      </c>
    </row>
    <row r="14" spans="1:10" ht="16.5" thickBot="1">
      <c r="A14" s="182" t="s">
        <v>143</v>
      </c>
      <c r="B14" s="183">
        <f>37+64</f>
        <v>101</v>
      </c>
      <c r="C14" s="183">
        <f>35+64</f>
        <v>99</v>
      </c>
      <c r="D14" s="184">
        <f>2</f>
        <v>2</v>
      </c>
      <c r="E14" s="183">
        <f>36</f>
        <v>36</v>
      </c>
      <c r="F14" s="183">
        <f>1</f>
        <v>1</v>
      </c>
      <c r="G14" s="184">
        <f t="shared" si="0"/>
        <v>35</v>
      </c>
      <c r="H14" s="183">
        <v>2</v>
      </c>
      <c r="I14" s="183">
        <v>64</v>
      </c>
      <c r="J14" s="185">
        <f>0</f>
        <v>0</v>
      </c>
    </row>
    <row r="15" spans="1:10" ht="15.75" thickBot="1">
      <c r="A15" s="186" t="s">
        <v>144</v>
      </c>
      <c r="B15" s="187">
        <f aca="true" t="shared" si="1" ref="B15:J15">SUM(B6:B14)</f>
        <v>2941</v>
      </c>
      <c r="C15" s="187">
        <f t="shared" si="1"/>
        <v>2467</v>
      </c>
      <c r="D15" s="188">
        <f t="shared" si="1"/>
        <v>474</v>
      </c>
      <c r="E15" s="187">
        <f t="shared" si="1"/>
        <v>1704</v>
      </c>
      <c r="F15" s="189">
        <f t="shared" si="1"/>
        <v>688</v>
      </c>
      <c r="G15" s="187">
        <f t="shared" si="1"/>
        <v>1016</v>
      </c>
      <c r="H15" s="189">
        <f t="shared" si="1"/>
        <v>905</v>
      </c>
      <c r="I15" s="189">
        <f t="shared" si="1"/>
        <v>105</v>
      </c>
      <c r="J15" s="190">
        <f t="shared" si="1"/>
        <v>170</v>
      </c>
    </row>
    <row r="16" spans="1:10" ht="15.75" thickBot="1">
      <c r="A16" s="191" t="s">
        <v>145</v>
      </c>
      <c r="B16" s="90">
        <v>2434</v>
      </c>
      <c r="C16" s="90">
        <v>2009</v>
      </c>
      <c r="D16" s="174">
        <v>425</v>
      </c>
      <c r="E16" s="90">
        <v>1730</v>
      </c>
      <c r="F16" s="90">
        <v>616</v>
      </c>
      <c r="G16" s="192">
        <v>1114</v>
      </c>
      <c r="H16" s="193">
        <v>383</v>
      </c>
      <c r="I16" s="176">
        <v>90</v>
      </c>
      <c r="J16" s="194">
        <v>187</v>
      </c>
    </row>
    <row r="17" spans="1:10" ht="16.5" thickBot="1" thickTop="1">
      <c r="A17" s="195" t="s">
        <v>146</v>
      </c>
      <c r="B17" s="196">
        <f aca="true" t="shared" si="2" ref="B17:J17">B15/B16*100</f>
        <v>120.82990961380445</v>
      </c>
      <c r="C17" s="196">
        <f t="shared" si="2"/>
        <v>122.79741164758586</v>
      </c>
      <c r="D17" s="197">
        <f t="shared" si="2"/>
        <v>111.52941176470588</v>
      </c>
      <c r="E17" s="196">
        <f t="shared" si="2"/>
        <v>98.4971098265896</v>
      </c>
      <c r="F17" s="196">
        <f t="shared" si="2"/>
        <v>111.68831168831169</v>
      </c>
      <c r="G17" s="197">
        <f t="shared" si="2"/>
        <v>91.20287253141831</v>
      </c>
      <c r="H17" s="196">
        <f t="shared" si="2"/>
        <v>236.2924281984334</v>
      </c>
      <c r="I17" s="196">
        <f t="shared" si="2"/>
        <v>116.66666666666667</v>
      </c>
      <c r="J17" s="198">
        <f t="shared" si="2"/>
        <v>90.9090909090909</v>
      </c>
    </row>
    <row r="18" spans="1:9" ht="15.75" thickTop="1">
      <c r="A18" s="98"/>
      <c r="B18" s="98"/>
      <c r="C18" s="98"/>
      <c r="D18" s="98"/>
      <c r="E18" s="98"/>
      <c r="F18" s="98"/>
      <c r="G18" s="98"/>
      <c r="H18" s="98"/>
      <c r="I18" s="98"/>
    </row>
    <row r="19" spans="1:9" ht="16.5">
      <c r="A19" s="199" t="s">
        <v>147</v>
      </c>
      <c r="F19" s="98"/>
      <c r="G19" s="98"/>
      <c r="H19" s="98"/>
      <c r="I19" s="98"/>
    </row>
    <row r="20" spans="1:9" ht="15">
      <c r="A20" s="98"/>
      <c r="B20" s="98"/>
      <c r="C20" s="98"/>
      <c r="D20" s="98"/>
      <c r="E20" s="98"/>
      <c r="F20" s="98"/>
      <c r="G20" s="98"/>
      <c r="H20" s="98"/>
      <c r="I20" s="98"/>
    </row>
    <row r="21" spans="1:9" ht="15.75" thickBot="1">
      <c r="A21" s="98" t="s">
        <v>148</v>
      </c>
      <c r="B21" s="98"/>
      <c r="C21" s="98"/>
      <c r="D21" s="98"/>
      <c r="E21" s="98"/>
      <c r="F21" s="98"/>
      <c r="G21" s="98"/>
      <c r="H21" s="98"/>
      <c r="I21" s="98"/>
    </row>
    <row r="22" spans="1:10" ht="17.25" thickBot="1" thickTop="1">
      <c r="A22" s="3" t="s">
        <v>130</v>
      </c>
      <c r="B22" s="159" t="s">
        <v>131</v>
      </c>
      <c r="C22" s="160" t="s">
        <v>132</v>
      </c>
      <c r="D22" s="161"/>
      <c r="E22" s="159" t="s">
        <v>133</v>
      </c>
      <c r="F22" s="160" t="s">
        <v>149</v>
      </c>
      <c r="G22" s="161"/>
      <c r="H22" s="200" t="s">
        <v>135</v>
      </c>
      <c r="I22" s="163" t="s">
        <v>136</v>
      </c>
      <c r="J22" s="201" t="s">
        <v>137</v>
      </c>
    </row>
    <row r="23" spans="1:10" ht="16.5" thickBot="1">
      <c r="A23" s="39" t="s">
        <v>110</v>
      </c>
      <c r="B23" s="165" t="s">
        <v>114</v>
      </c>
      <c r="C23" s="166" t="s">
        <v>138</v>
      </c>
      <c r="D23" s="167" t="s">
        <v>139</v>
      </c>
      <c r="E23" s="165" t="s">
        <v>114</v>
      </c>
      <c r="F23" s="168" t="s">
        <v>140</v>
      </c>
      <c r="G23" s="169" t="s">
        <v>141</v>
      </c>
      <c r="H23" s="170"/>
      <c r="I23" s="39"/>
      <c r="J23" s="202" t="s">
        <v>150</v>
      </c>
    </row>
    <row r="24" spans="1:10" ht="16.5" thickTop="1">
      <c r="A24" s="73" t="s">
        <v>9</v>
      </c>
      <c r="B24" s="172">
        <v>136</v>
      </c>
      <c r="C24" s="172">
        <v>128</v>
      </c>
      <c r="D24" s="173">
        <v>8</v>
      </c>
      <c r="E24" s="172">
        <v>94</v>
      </c>
      <c r="F24" s="172">
        <v>30</v>
      </c>
      <c r="G24" s="203">
        <f>E24-F24</f>
        <v>64</v>
      </c>
      <c r="H24" s="204">
        <v>35</v>
      </c>
      <c r="I24" s="172">
        <v>0</v>
      </c>
      <c r="J24" s="205">
        <v>5</v>
      </c>
    </row>
    <row r="25" spans="1:10" ht="15.75">
      <c r="A25" s="89" t="s">
        <v>10</v>
      </c>
      <c r="B25" s="176">
        <v>36</v>
      </c>
      <c r="C25" s="176">
        <v>33</v>
      </c>
      <c r="D25" s="174">
        <v>3</v>
      </c>
      <c r="E25" s="176">
        <v>6</v>
      </c>
      <c r="F25" s="176">
        <v>3</v>
      </c>
      <c r="G25" s="203">
        <f aca="true" t="shared" si="3" ref="G25:G31">E25-F25</f>
        <v>3</v>
      </c>
      <c r="H25" s="193">
        <v>25</v>
      </c>
      <c r="I25" s="176">
        <v>0</v>
      </c>
      <c r="J25" s="194">
        <v>2</v>
      </c>
    </row>
    <row r="26" spans="1:10" ht="15.75">
      <c r="A26" s="89" t="s">
        <v>11</v>
      </c>
      <c r="B26" s="176">
        <v>20</v>
      </c>
      <c r="C26" s="176">
        <v>19</v>
      </c>
      <c r="D26" s="174">
        <v>1</v>
      </c>
      <c r="E26" s="176">
        <v>15</v>
      </c>
      <c r="F26" s="176">
        <v>0</v>
      </c>
      <c r="G26" s="203">
        <f t="shared" si="3"/>
        <v>15</v>
      </c>
      <c r="H26" s="193">
        <v>5</v>
      </c>
      <c r="I26" s="176">
        <v>0</v>
      </c>
      <c r="J26" s="194">
        <v>0</v>
      </c>
    </row>
    <row r="27" spans="1:10" ht="15.75">
      <c r="A27" s="89" t="s">
        <v>12</v>
      </c>
      <c r="B27" s="176">
        <v>60</v>
      </c>
      <c r="C27" s="176">
        <v>57</v>
      </c>
      <c r="D27" s="174">
        <v>3</v>
      </c>
      <c r="E27" s="176">
        <v>20</v>
      </c>
      <c r="F27" s="176">
        <v>1</v>
      </c>
      <c r="G27" s="203">
        <f t="shared" si="3"/>
        <v>19</v>
      </c>
      <c r="H27" s="193">
        <v>29</v>
      </c>
      <c r="I27" s="176">
        <v>3</v>
      </c>
      <c r="J27" s="194">
        <v>7</v>
      </c>
    </row>
    <row r="28" spans="1:10" ht="15.75">
      <c r="A28" s="89" t="s">
        <v>13</v>
      </c>
      <c r="B28" s="176">
        <v>46</v>
      </c>
      <c r="C28" s="176">
        <v>46</v>
      </c>
      <c r="D28" s="174">
        <v>0</v>
      </c>
      <c r="E28" s="176">
        <v>27</v>
      </c>
      <c r="F28" s="176">
        <v>17</v>
      </c>
      <c r="G28" s="203">
        <f t="shared" si="3"/>
        <v>10</v>
      </c>
      <c r="H28" s="193">
        <v>3</v>
      </c>
      <c r="I28" s="176">
        <v>2</v>
      </c>
      <c r="J28" s="194">
        <v>14</v>
      </c>
    </row>
    <row r="29" spans="1:10" ht="15.75">
      <c r="A29" s="89" t="s">
        <v>14</v>
      </c>
      <c r="B29" s="176">
        <v>23</v>
      </c>
      <c r="C29" s="176">
        <v>21</v>
      </c>
      <c r="D29" s="174">
        <v>2</v>
      </c>
      <c r="E29" s="176">
        <v>13</v>
      </c>
      <c r="F29" s="176">
        <v>0</v>
      </c>
      <c r="G29" s="203">
        <f t="shared" si="3"/>
        <v>13</v>
      </c>
      <c r="H29" s="193">
        <v>8</v>
      </c>
      <c r="I29" s="176">
        <v>0</v>
      </c>
      <c r="J29" s="194">
        <v>2</v>
      </c>
    </row>
    <row r="30" spans="1:10" ht="15.75">
      <c r="A30" s="89" t="s">
        <v>15</v>
      </c>
      <c r="B30" s="176">
        <v>39</v>
      </c>
      <c r="C30" s="176">
        <v>38</v>
      </c>
      <c r="D30" s="174">
        <v>1</v>
      </c>
      <c r="E30" s="176">
        <v>4</v>
      </c>
      <c r="F30" s="176">
        <v>0</v>
      </c>
      <c r="G30" s="203">
        <f t="shared" si="3"/>
        <v>4</v>
      </c>
      <c r="H30" s="193">
        <v>21</v>
      </c>
      <c r="I30" s="176">
        <v>4</v>
      </c>
      <c r="J30" s="194">
        <v>4</v>
      </c>
    </row>
    <row r="31" spans="1:10" ht="16.5" thickBot="1">
      <c r="A31" s="182" t="s">
        <v>16</v>
      </c>
      <c r="B31" s="183">
        <v>142</v>
      </c>
      <c r="C31" s="183">
        <v>138</v>
      </c>
      <c r="D31" s="184">
        <v>4</v>
      </c>
      <c r="E31" s="183">
        <v>65</v>
      </c>
      <c r="F31" s="183">
        <v>31</v>
      </c>
      <c r="G31" s="184">
        <f t="shared" si="3"/>
        <v>34</v>
      </c>
      <c r="H31" s="206">
        <v>46</v>
      </c>
      <c r="I31" s="183">
        <v>7</v>
      </c>
      <c r="J31" s="207">
        <v>15</v>
      </c>
    </row>
    <row r="32" spans="1:10" ht="15.75" thickBot="1">
      <c r="A32" s="186" t="s">
        <v>144</v>
      </c>
      <c r="B32" s="189">
        <f aca="true" t="shared" si="4" ref="B32:J32">SUM(B24:B31)</f>
        <v>502</v>
      </c>
      <c r="C32" s="189">
        <f t="shared" si="4"/>
        <v>480</v>
      </c>
      <c r="D32" s="188">
        <f t="shared" si="4"/>
        <v>22</v>
      </c>
      <c r="E32" s="189">
        <f t="shared" si="4"/>
        <v>244</v>
      </c>
      <c r="F32" s="189">
        <f t="shared" si="4"/>
        <v>82</v>
      </c>
      <c r="G32" s="188">
        <f t="shared" si="4"/>
        <v>162</v>
      </c>
      <c r="H32" s="189">
        <f t="shared" si="4"/>
        <v>172</v>
      </c>
      <c r="I32" s="189">
        <f t="shared" si="4"/>
        <v>16</v>
      </c>
      <c r="J32" s="190">
        <f t="shared" si="4"/>
        <v>49</v>
      </c>
    </row>
    <row r="33" spans="1:10" ht="15.75" thickBot="1">
      <c r="A33" s="191" t="s">
        <v>145</v>
      </c>
      <c r="B33" s="176">
        <v>392</v>
      </c>
      <c r="C33" s="176">
        <v>367</v>
      </c>
      <c r="D33" s="174">
        <v>25</v>
      </c>
      <c r="E33" s="176">
        <v>264</v>
      </c>
      <c r="F33" s="176">
        <v>88</v>
      </c>
      <c r="G33" s="174">
        <v>176</v>
      </c>
      <c r="H33" s="193">
        <v>65</v>
      </c>
      <c r="I33" s="176">
        <v>14</v>
      </c>
      <c r="J33" s="194">
        <v>34</v>
      </c>
    </row>
    <row r="34" spans="1:10" ht="16.5" thickBot="1" thickTop="1">
      <c r="A34" s="195" t="s">
        <v>146</v>
      </c>
      <c r="B34" s="196">
        <f aca="true" t="shared" si="5" ref="B34:J34">B32/B33*100</f>
        <v>128.0612244897959</v>
      </c>
      <c r="C34" s="196">
        <f t="shared" si="5"/>
        <v>130.79019073569484</v>
      </c>
      <c r="D34" s="197">
        <f t="shared" si="5"/>
        <v>88</v>
      </c>
      <c r="E34" s="196">
        <f t="shared" si="5"/>
        <v>92.42424242424242</v>
      </c>
      <c r="F34" s="196">
        <f t="shared" si="5"/>
        <v>93.18181818181817</v>
      </c>
      <c r="G34" s="197">
        <f t="shared" si="5"/>
        <v>92.04545454545455</v>
      </c>
      <c r="H34" s="196">
        <f t="shared" si="5"/>
        <v>264.6153846153846</v>
      </c>
      <c r="I34" s="196">
        <f t="shared" si="5"/>
        <v>114.28571428571428</v>
      </c>
      <c r="J34" s="198">
        <f t="shared" si="5"/>
        <v>144.11764705882354</v>
      </c>
    </row>
    <row r="35" ht="13.5" thickTop="1"/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I12" sqref="I12"/>
    </sheetView>
  </sheetViews>
  <sheetFormatPr defaultColWidth="9.140625" defaultRowHeight="12.75"/>
  <cols>
    <col min="1" max="1" width="39.421875" style="0" customWidth="1"/>
    <col min="3" max="3" width="13.57421875" style="0" customWidth="1"/>
    <col min="5" max="5" width="10.57421875" style="0" customWidth="1"/>
    <col min="7" max="7" width="12.28125" style="0" customWidth="1"/>
  </cols>
  <sheetData>
    <row r="1" spans="1:7" ht="20.25">
      <c r="A1" s="99" t="s">
        <v>151</v>
      </c>
      <c r="B1" s="98"/>
      <c r="C1" s="98"/>
      <c r="D1" s="98"/>
      <c r="E1" s="98"/>
      <c r="F1" s="98"/>
      <c r="G1" s="98"/>
    </row>
    <row r="2" spans="1:7" ht="15">
      <c r="A2" s="98"/>
      <c r="B2" s="98"/>
      <c r="C2" s="98"/>
      <c r="D2" s="98"/>
      <c r="E2" s="98"/>
      <c r="F2" s="98"/>
      <c r="G2" s="98"/>
    </row>
    <row r="3" spans="1:7" ht="15.75" thickBot="1">
      <c r="A3" s="98" t="s">
        <v>152</v>
      </c>
      <c r="B3" s="98"/>
      <c r="C3" s="98"/>
      <c r="D3" s="98"/>
      <c r="E3" s="98"/>
      <c r="F3" s="98"/>
      <c r="G3" s="98"/>
    </row>
    <row r="4" spans="1:7" ht="16.5" thickBot="1">
      <c r="A4" s="208" t="s">
        <v>22</v>
      </c>
      <c r="B4" s="209" t="s">
        <v>153</v>
      </c>
      <c r="C4" s="208"/>
      <c r="D4" s="210" t="s">
        <v>154</v>
      </c>
      <c r="E4" s="210"/>
      <c r="F4" s="210" t="s">
        <v>155</v>
      </c>
      <c r="G4" s="210"/>
    </row>
    <row r="5" spans="1:7" ht="39.75" thickBot="1">
      <c r="A5" s="208" t="s">
        <v>156</v>
      </c>
      <c r="B5" s="211" t="s">
        <v>157</v>
      </c>
      <c r="C5" s="211" t="s">
        <v>158</v>
      </c>
      <c r="D5" s="212" t="s">
        <v>157</v>
      </c>
      <c r="E5" s="212" t="s">
        <v>158</v>
      </c>
      <c r="F5" s="212" t="s">
        <v>157</v>
      </c>
      <c r="G5" s="212" t="s">
        <v>158</v>
      </c>
    </row>
    <row r="6" spans="1:7" ht="15.75">
      <c r="A6" s="213" t="s">
        <v>159</v>
      </c>
      <c r="B6" s="214">
        <v>18828</v>
      </c>
      <c r="C6" s="215">
        <v>12241</v>
      </c>
      <c r="D6" s="216">
        <v>17198</v>
      </c>
      <c r="E6" s="217">
        <v>10827</v>
      </c>
      <c r="F6" s="216">
        <v>14049</v>
      </c>
      <c r="G6" s="217">
        <v>9001</v>
      </c>
    </row>
    <row r="7" spans="1:7" ht="15.75">
      <c r="A7" s="218" t="s">
        <v>160</v>
      </c>
      <c r="B7" s="219">
        <v>5407</v>
      </c>
      <c r="C7" s="220">
        <v>21519</v>
      </c>
      <c r="D7" s="221">
        <f>3946+3</f>
        <v>3949</v>
      </c>
      <c r="E7" s="222">
        <f>19253+55</f>
        <v>19308</v>
      </c>
      <c r="F7" s="221">
        <v>3469</v>
      </c>
      <c r="G7" s="222">
        <v>13783</v>
      </c>
    </row>
    <row r="8" spans="1:7" ht="15.75">
      <c r="A8" s="218" t="s">
        <v>161</v>
      </c>
      <c r="B8" s="219">
        <v>6</v>
      </c>
      <c r="C8" s="220">
        <v>102</v>
      </c>
      <c r="D8" s="221">
        <v>8</v>
      </c>
      <c r="E8" s="222">
        <v>145</v>
      </c>
      <c r="F8" s="221">
        <v>5</v>
      </c>
      <c r="G8" s="222">
        <v>131</v>
      </c>
    </row>
    <row r="9" spans="1:7" ht="16.5" thickBot="1">
      <c r="A9" s="218" t="s">
        <v>162</v>
      </c>
      <c r="B9" s="219">
        <v>3083</v>
      </c>
      <c r="C9" s="220">
        <v>14797</v>
      </c>
      <c r="D9" s="223">
        <f>2397+19</f>
        <v>2416</v>
      </c>
      <c r="E9" s="224">
        <f>16067+175</f>
        <v>16242</v>
      </c>
      <c r="F9" s="223">
        <v>2359</v>
      </c>
      <c r="G9" s="224">
        <v>17398</v>
      </c>
    </row>
    <row r="10" spans="1:7" ht="16.5" thickBot="1">
      <c r="A10" s="225" t="s">
        <v>163</v>
      </c>
      <c r="B10" s="226">
        <f aca="true" t="shared" si="0" ref="B10:G10">SUM(B6:B9)</f>
        <v>27324</v>
      </c>
      <c r="C10" s="227">
        <f t="shared" si="0"/>
        <v>48659</v>
      </c>
      <c r="D10" s="223">
        <f t="shared" si="0"/>
        <v>23571</v>
      </c>
      <c r="E10" s="224">
        <f t="shared" si="0"/>
        <v>46522</v>
      </c>
      <c r="F10" s="223">
        <f t="shared" si="0"/>
        <v>19882</v>
      </c>
      <c r="G10" s="224">
        <f t="shared" si="0"/>
        <v>40313</v>
      </c>
    </row>
    <row r="11" spans="1:7" ht="15.75">
      <c r="A11" s="218" t="s">
        <v>164</v>
      </c>
      <c r="B11" s="219">
        <v>20</v>
      </c>
      <c r="C11" s="228"/>
      <c r="D11" s="229">
        <v>22</v>
      </c>
      <c r="E11" s="230"/>
      <c r="F11" s="229">
        <v>16</v>
      </c>
      <c r="G11" s="230"/>
    </row>
    <row r="12" spans="1:7" ht="15.75">
      <c r="A12" s="231" t="s">
        <v>165</v>
      </c>
      <c r="B12" s="232"/>
      <c r="C12" s="233"/>
      <c r="D12" s="234"/>
      <c r="E12" s="235"/>
      <c r="F12" s="234"/>
      <c r="G12" s="235"/>
    </row>
    <row r="13" spans="1:7" ht="15.75">
      <c r="A13" s="218" t="s">
        <v>166</v>
      </c>
      <c r="B13" s="236">
        <v>2</v>
      </c>
      <c r="C13" s="228"/>
      <c r="D13" s="237">
        <f>1+1</f>
        <v>2</v>
      </c>
      <c r="E13" s="238"/>
      <c r="F13" s="237">
        <v>1</v>
      </c>
      <c r="G13" s="238"/>
    </row>
    <row r="14" spans="1:7" ht="15.75">
      <c r="A14" s="218" t="s">
        <v>167</v>
      </c>
      <c r="B14" s="219">
        <v>24</v>
      </c>
      <c r="C14" s="228"/>
      <c r="D14" s="229">
        <v>14</v>
      </c>
      <c r="E14" s="230"/>
      <c r="F14" s="229">
        <v>7</v>
      </c>
      <c r="G14" s="230"/>
    </row>
    <row r="15" spans="1:7" ht="15.75">
      <c r="A15" s="218" t="s">
        <v>168</v>
      </c>
      <c r="B15" s="236" t="s">
        <v>169</v>
      </c>
      <c r="C15" s="228"/>
      <c r="D15" s="239" t="s">
        <v>170</v>
      </c>
      <c r="E15" s="230"/>
      <c r="F15" s="239">
        <v>0</v>
      </c>
      <c r="G15" s="230"/>
    </row>
    <row r="16" spans="1:7" ht="16.5" thickBot="1">
      <c r="A16" s="218" t="s">
        <v>171</v>
      </c>
      <c r="B16" s="219">
        <v>14</v>
      </c>
      <c r="C16" s="228"/>
      <c r="D16" s="240">
        <v>6</v>
      </c>
      <c r="E16" s="241"/>
      <c r="F16" s="240">
        <v>3</v>
      </c>
      <c r="G16" s="241"/>
    </row>
    <row r="17" spans="1:7" ht="15.75">
      <c r="A17" s="242" t="s">
        <v>172</v>
      </c>
      <c r="B17" s="243"/>
      <c r="C17" s="244"/>
      <c r="D17" s="245"/>
      <c r="E17" s="235"/>
      <c r="F17" s="245"/>
      <c r="G17" s="235"/>
    </row>
    <row r="18" spans="1:7" ht="15.75">
      <c r="A18" s="218" t="s">
        <v>173</v>
      </c>
      <c r="B18" s="219">
        <v>1676</v>
      </c>
      <c r="C18" s="228"/>
      <c r="D18" s="246">
        <v>1360</v>
      </c>
      <c r="E18" s="238"/>
      <c r="F18" s="246">
        <v>1115</v>
      </c>
      <c r="G18" s="238"/>
    </row>
    <row r="19" spans="1:7" ht="16.5" thickBot="1">
      <c r="A19" s="218" t="s">
        <v>174</v>
      </c>
      <c r="B19" s="219">
        <v>14710</v>
      </c>
      <c r="C19" s="228">
        <v>371613</v>
      </c>
      <c r="D19" s="247">
        <v>14078</v>
      </c>
      <c r="E19" s="248">
        <v>343358</v>
      </c>
      <c r="F19" s="247">
        <v>13149</v>
      </c>
      <c r="G19" s="248">
        <v>447254</v>
      </c>
    </row>
    <row r="20" spans="1:7" ht="17.25" thickBot="1" thickTop="1">
      <c r="A20" s="249" t="s">
        <v>175</v>
      </c>
      <c r="B20" s="250">
        <f>SUM(B10:B19)</f>
        <v>43770</v>
      </c>
      <c r="C20" s="251"/>
      <c r="D20" s="250">
        <f>SUM(D10:D19)</f>
        <v>39053</v>
      </c>
      <c r="E20" s="241"/>
      <c r="F20" s="250">
        <f>SUM(F10:F19)</f>
        <v>34173</v>
      </c>
      <c r="G20" s="241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PetraB</cp:lastModifiedBy>
  <cp:lastPrinted>2006-03-21T12:30:06Z</cp:lastPrinted>
  <dcterms:modified xsi:type="dcterms:W3CDTF">2006-03-21T12:35:32Z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82899757</vt:i4>
  </property>
  <property fmtid="{D5CDD505-2E9C-101B-9397-08002B2CF9AE}" pid="3" name="_EmailSubject">
    <vt:lpwstr/>
  </property>
  <property fmtid="{D5CDD505-2E9C-101B-9397-08002B2CF9AE}" pid="4" name="_AuthorEmail">
    <vt:lpwstr>helena.homolova@soi.sk</vt:lpwstr>
  </property>
  <property fmtid="{D5CDD505-2E9C-101B-9397-08002B2CF9AE}" pid="5" name="_AuthorEmailDisplayName">
    <vt:lpwstr>Ing. Helena Homolová</vt:lpwstr>
  </property>
  <property fmtid="{D5CDD505-2E9C-101B-9397-08002B2CF9AE}" pid="6" name="_ReviewingToolsShownOnce">
    <vt:lpwstr/>
  </property>
</Properties>
</file>