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Podľa subjektov" sheetId="3" r:id="rId3"/>
  </sheets>
  <definedNames/>
  <calcPr fullCalcOnLoad="1"/>
</workbook>
</file>

<file path=xl/sharedStrings.xml><?xml version="1.0" encoding="utf-8"?>
<sst xmlns="http://schemas.openxmlformats.org/spreadsheetml/2006/main" count="220" uniqueCount="98">
  <si>
    <t>Inšpektorát SOI pre kraj</t>
  </si>
  <si>
    <t>Počet kontrolovaných prevádzok</t>
  </si>
  <si>
    <t>Počet prevádzok s nedostatkami</t>
  </si>
  <si>
    <t>S P O L U</t>
  </si>
  <si>
    <t>Chýbajúce DZ KS</t>
  </si>
  <si>
    <t>Doklad o kúpe</t>
  </si>
  <si>
    <t>Cenniky služieb</t>
  </si>
  <si>
    <t>Osobitné zmluvy</t>
  </si>
  <si>
    <t>Výška cien</t>
  </si>
  <si>
    <t>Legenda:</t>
  </si>
  <si>
    <t>IC - informatívna cena v EURO</t>
  </si>
  <si>
    <t>DZ -  duálne zobrazenie</t>
  </si>
  <si>
    <t>KS - konečná suma, ktorú má spotrebiteľ platiť</t>
  </si>
  <si>
    <t>IS - informatívna suma</t>
  </si>
  <si>
    <t>KK - konverzný kurz</t>
  </si>
  <si>
    <t>Neuvedený KK</t>
  </si>
  <si>
    <t>Nesprávny KK</t>
  </si>
  <si>
    <t>Nesprávny prepočet v IS</t>
  </si>
  <si>
    <t>Nesprávny prepočet PC</t>
  </si>
  <si>
    <t>Nesprávny prepočet JC</t>
  </si>
  <si>
    <t>PC - predajná cena</t>
  </si>
  <si>
    <t>JC - jednotková cena</t>
  </si>
  <si>
    <t>KT - konverzná tabuľka</t>
  </si>
  <si>
    <t>Konverzný kurz</t>
  </si>
  <si>
    <t>BL</t>
  </si>
  <si>
    <t>TC</t>
  </si>
  <si>
    <t>NI</t>
  </si>
  <si>
    <t>ZI</t>
  </si>
  <si>
    <t>BC</t>
  </si>
  <si>
    <t>PV</t>
  </si>
  <si>
    <t>KI</t>
  </si>
  <si>
    <t>TA</t>
  </si>
  <si>
    <t>Nezverejnený</t>
  </si>
  <si>
    <t>Zverejnený nevhodne</t>
  </si>
  <si>
    <t>Nevydaný  (vôbec)</t>
  </si>
  <si>
    <t>Počet kontrolovaných druhov výrobkov</t>
  </si>
  <si>
    <t xml:space="preserve"> - z toho na cenníku</t>
  </si>
  <si>
    <t>Chýbajúce DZ u PC</t>
  </si>
  <si>
    <t>Chýbajúce DZ u JC</t>
  </si>
  <si>
    <t>Počet kontrolov. druhov služieb</t>
  </si>
  <si>
    <t>Chýbajúce duálne zobrazenie</t>
  </si>
  <si>
    <t>Nesprávne prepočítané, zaokrúhlené ceny</t>
  </si>
  <si>
    <t>Chýba konverzná tabuľka</t>
  </si>
  <si>
    <t>Počet kontrolovaných cien v KT</t>
  </si>
  <si>
    <t>Počet chýbajúcich cien v KT</t>
  </si>
  <si>
    <t xml:space="preserve">Nesprávny prepočet </t>
  </si>
  <si>
    <t>Chýba KK v KT</t>
  </si>
  <si>
    <t>Počet kontrolovaných cien</t>
  </si>
  <si>
    <t xml:space="preserve">Ceny neuvedené duálne </t>
  </si>
  <si>
    <t>Ceny nesprávne prepočítané</t>
  </si>
  <si>
    <t>Chýbajúci KK</t>
  </si>
  <si>
    <t>Počet kontrolovaných produktov v reklame</t>
  </si>
  <si>
    <t>Nesprávny prepočet u PC</t>
  </si>
  <si>
    <t>Nesprávny prepočet u JC</t>
  </si>
  <si>
    <t>Počet kontrolov.cien</t>
  </si>
  <si>
    <t>Počet zvýšených cien</t>
  </si>
  <si>
    <t>Podozrenie na neodôvodnené zvýšenie</t>
  </si>
  <si>
    <t>Počet výrobkov s nedostatkami v DZ</t>
  </si>
  <si>
    <t>Predaj výrobkov</t>
  </si>
  <si>
    <t>VÝSLEDKY KONTROL PRI PRECHODE NA EURO  - PODĽA KRAJOV</t>
  </si>
  <si>
    <t>Predaj cez katalóg</t>
  </si>
  <si>
    <t>Nedostatky odstránené na mieste</t>
  </si>
  <si>
    <t>Počet kontrolov. reklamných letákov</t>
  </si>
  <si>
    <t>Počet reklam.letákov s nedostatkami</t>
  </si>
  <si>
    <t>Počet reklam.letákov bez KK</t>
  </si>
  <si>
    <t>Kontrola reklamných letákov</t>
  </si>
  <si>
    <t>obdobie od 01.12.2008 - 14. 12. 2008 - povinné duálne zobrazovanie cien</t>
  </si>
  <si>
    <t>VÝSLEDKY KONTROL PRI PRECHODE NA EURO - PODĽA SORTIMENTU</t>
  </si>
  <si>
    <t xml:space="preserve">obdobie od 01.12.2008 do 14. 12.2008 </t>
  </si>
  <si>
    <t>SORTIMENT</t>
  </si>
  <si>
    <t>POTRAVINY</t>
  </si>
  <si>
    <t>NEPOTRAVINY</t>
  </si>
  <si>
    <t>STRAVOVACIE ZARIADENIA</t>
  </si>
  <si>
    <t>UBYTOVACIE ZARIADENIA</t>
  </si>
  <si>
    <t>CESTOVNÉ KANCELÁRIE A AGENTÚRY</t>
  </si>
  <si>
    <t>SLUŽBY</t>
  </si>
  <si>
    <t>PREDAJ VÝROBKOV *</t>
  </si>
  <si>
    <t>SLUŽBY *</t>
  </si>
  <si>
    <t>* - iné doteraz nedohliadané subjekty</t>
  </si>
  <si>
    <t>VÝSLEDKY KONTROL PRI PRECHODE NA EURO - PODĽA SUBJEKTOV</t>
  </si>
  <si>
    <t>obdobie  01.12.2008 - 14.12.2008 - povinné duálne zobrazovanie cien</t>
  </si>
  <si>
    <t>nezverejnený</t>
  </si>
  <si>
    <t>zverejnený nevhodne</t>
  </si>
  <si>
    <t>nesprávny KK</t>
  </si>
  <si>
    <t>Nesprávny prepočet IC</t>
  </si>
  <si>
    <t>PREDAJ VÝROBKOV</t>
  </si>
  <si>
    <t>Obchodný reťazec</t>
  </si>
  <si>
    <t>Do 5 zamestnancov</t>
  </si>
  <si>
    <t>Nad 5 zamestnancov</t>
  </si>
  <si>
    <t>Trhové miesto</t>
  </si>
  <si>
    <t>Elektronický obchod</t>
  </si>
  <si>
    <t>Podomový predaj</t>
  </si>
  <si>
    <t>Zásielkový predaj</t>
  </si>
  <si>
    <t>MIMO KOMPETENCIE SOI</t>
  </si>
  <si>
    <t>Iný predaj</t>
  </si>
  <si>
    <t>Iné služby</t>
  </si>
  <si>
    <t>S P O L U: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</si>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</sst>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Sk&quot;"/>
    <numFmt numFmtId="181" formatCode="#,##0.00\ _S_k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i/>
      <sz val="14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sz val="14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2" borderId="36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2" borderId="3" xfId="0" applyFont="1" applyFill="1" applyBorder="1" applyAlignment="1">
      <alignment horizontal="center" vertical="center" textRotation="90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2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 textRotation="90" wrapText="1"/>
    </xf>
    <xf numFmtId="0" fontId="12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6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Border="1" applyAlignment="1">
      <alignment/>
    </xf>
    <xf numFmtId="0" fontId="0" fillId="0" borderId="69" xfId="0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2" borderId="36" xfId="0" applyFill="1" applyBorder="1" applyAlignment="1">
      <alignment/>
    </xf>
    <xf numFmtId="0" fontId="0" fillId="2" borderId="70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71" xfId="0" applyFill="1" applyBorder="1" applyAlignment="1">
      <alignment/>
    </xf>
    <xf numFmtId="0" fontId="2" fillId="2" borderId="4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2" fillId="2" borderId="4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2" borderId="5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5" borderId="4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2" fillId="6" borderId="3" xfId="0" applyFont="1" applyFill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23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4" width="6.25390625" style="0" customWidth="1"/>
    <col min="5" max="6" width="4.875" style="0" customWidth="1"/>
    <col min="7" max="7" width="7.125" style="0" customWidth="1"/>
    <col min="8" max="8" width="3.875" style="0" customWidth="1"/>
    <col min="9" max="9" width="4.00390625" style="0" customWidth="1"/>
    <col min="10" max="10" width="4.375" style="0" customWidth="1"/>
    <col min="11" max="11" width="4.25390625" style="0" customWidth="1"/>
    <col min="12" max="12" width="4.375" style="0" customWidth="1"/>
    <col min="14" max="14" width="7.875" style="0" customWidth="1"/>
    <col min="15" max="15" width="7.75390625" style="0" customWidth="1"/>
    <col min="16" max="16" width="6.625" style="0" customWidth="1"/>
    <col min="17" max="17" width="7.625" style="0" customWidth="1"/>
    <col min="18" max="18" width="8.625" style="0" customWidth="1"/>
    <col min="19" max="19" width="7.75390625" style="0" customWidth="1"/>
    <col min="20" max="20" width="7.875" style="0" customWidth="1"/>
    <col min="21" max="21" width="8.00390625" style="0" customWidth="1"/>
    <col min="22" max="22" width="6.375" style="0" customWidth="1"/>
    <col min="23" max="23" width="6.625" style="0" customWidth="1"/>
    <col min="24" max="24" width="4.75390625" style="0" customWidth="1"/>
    <col min="25" max="25" width="5.75390625" style="0" customWidth="1"/>
    <col min="26" max="26" width="4.625" style="0" customWidth="1"/>
    <col min="27" max="28" width="4.375" style="0" customWidth="1"/>
    <col min="29" max="29" width="4.75390625" style="0" customWidth="1"/>
    <col min="30" max="30" width="4.625" style="0" customWidth="1"/>
    <col min="31" max="31" width="5.75390625" style="0" customWidth="1"/>
    <col min="32" max="32" width="4.125" style="0" customWidth="1"/>
    <col min="33" max="33" width="5.125" style="0" customWidth="1"/>
    <col min="34" max="34" width="5.25390625" style="0" customWidth="1"/>
    <col min="35" max="35" width="6.25390625" style="0" customWidth="1"/>
    <col min="36" max="36" width="5.875" style="0" customWidth="1"/>
    <col min="37" max="37" width="4.875" style="0" customWidth="1"/>
    <col min="38" max="38" width="5.25390625" style="0" customWidth="1"/>
    <col min="39" max="39" width="5.00390625" style="0" customWidth="1"/>
    <col min="40" max="40" width="4.625" style="0" customWidth="1"/>
    <col min="41" max="41" width="5.875" style="0" customWidth="1"/>
    <col min="42" max="43" width="5.00390625" style="0" customWidth="1"/>
  </cols>
  <sheetData>
    <row r="3" spans="1:43" ht="20.25">
      <c r="A3" s="80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81"/>
      <c r="AQ3" s="81"/>
    </row>
    <row r="4" spans="1:43" ht="18.75">
      <c r="A4" s="82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</row>
    <row r="5" spans="1:43" ht="18.75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="55" customFormat="1" ht="12.75" thickBot="1"/>
    <row r="7" spans="1:43" ht="24" customHeight="1" thickBot="1" thickTop="1">
      <c r="A7" s="87" t="s">
        <v>0</v>
      </c>
      <c r="B7" s="66" t="s">
        <v>1</v>
      </c>
      <c r="C7" s="70" t="s">
        <v>2</v>
      </c>
      <c r="D7" s="70" t="s">
        <v>61</v>
      </c>
      <c r="E7" s="77" t="s">
        <v>23</v>
      </c>
      <c r="F7" s="78"/>
      <c r="G7" s="79"/>
      <c r="H7" s="83" t="s">
        <v>5</v>
      </c>
      <c r="I7" s="77"/>
      <c r="J7" s="77"/>
      <c r="K7" s="77"/>
      <c r="L7" s="84"/>
      <c r="M7" s="72" t="s">
        <v>58</v>
      </c>
      <c r="N7" s="73"/>
      <c r="O7" s="73"/>
      <c r="P7" s="73"/>
      <c r="Q7" s="73"/>
      <c r="R7" s="73"/>
      <c r="S7" s="73"/>
      <c r="T7" s="74"/>
      <c r="U7" s="75" t="s">
        <v>6</v>
      </c>
      <c r="V7" s="76"/>
      <c r="W7" s="76"/>
      <c r="X7" s="86" t="s">
        <v>60</v>
      </c>
      <c r="Y7" s="86"/>
      <c r="Z7" s="86"/>
      <c r="AA7" s="86"/>
      <c r="AB7" s="86"/>
      <c r="AC7" s="86" t="s">
        <v>7</v>
      </c>
      <c r="AD7" s="86"/>
      <c r="AE7" s="86"/>
      <c r="AF7" s="75"/>
      <c r="AG7" s="75" t="s">
        <v>65</v>
      </c>
      <c r="AH7" s="76"/>
      <c r="AI7" s="76"/>
      <c r="AJ7" s="76"/>
      <c r="AK7" s="76"/>
      <c r="AL7" s="76"/>
      <c r="AM7" s="76"/>
      <c r="AN7" s="85"/>
      <c r="AO7" s="85" t="s">
        <v>8</v>
      </c>
      <c r="AP7" s="86"/>
      <c r="AQ7" s="86"/>
    </row>
    <row r="8" spans="1:43" ht="129" customHeight="1" thickBot="1" thickTop="1">
      <c r="A8" s="88"/>
      <c r="B8" s="67"/>
      <c r="C8" s="71"/>
      <c r="D8" s="71"/>
      <c r="E8" s="44" t="s">
        <v>32</v>
      </c>
      <c r="F8" s="9" t="s">
        <v>33</v>
      </c>
      <c r="G8" s="9" t="s">
        <v>16</v>
      </c>
      <c r="H8" s="1" t="s">
        <v>34</v>
      </c>
      <c r="I8" s="1" t="s">
        <v>15</v>
      </c>
      <c r="J8" s="1" t="s">
        <v>16</v>
      </c>
      <c r="K8" s="1" t="s">
        <v>4</v>
      </c>
      <c r="L8" s="9" t="s">
        <v>17</v>
      </c>
      <c r="M8" s="45" t="s">
        <v>35</v>
      </c>
      <c r="N8" s="1" t="s">
        <v>36</v>
      </c>
      <c r="O8" s="1" t="s">
        <v>57</v>
      </c>
      <c r="P8" s="1" t="s">
        <v>36</v>
      </c>
      <c r="Q8" s="1" t="s">
        <v>37</v>
      </c>
      <c r="R8" s="1" t="s">
        <v>18</v>
      </c>
      <c r="S8" s="1" t="s">
        <v>38</v>
      </c>
      <c r="T8" s="2" t="s">
        <v>19</v>
      </c>
      <c r="U8" s="3" t="s">
        <v>39</v>
      </c>
      <c r="V8" s="3" t="s">
        <v>40</v>
      </c>
      <c r="W8" s="3" t="s">
        <v>41</v>
      </c>
      <c r="X8" s="41" t="s">
        <v>42</v>
      </c>
      <c r="Y8" s="3" t="s">
        <v>43</v>
      </c>
      <c r="Z8" s="3" t="s">
        <v>44</v>
      </c>
      <c r="AA8" s="3" t="s">
        <v>45</v>
      </c>
      <c r="AB8" s="47" t="s">
        <v>46</v>
      </c>
      <c r="AC8" s="46" t="s">
        <v>47</v>
      </c>
      <c r="AD8" s="3" t="s">
        <v>48</v>
      </c>
      <c r="AE8" s="3" t="s">
        <v>49</v>
      </c>
      <c r="AF8" s="51" t="s">
        <v>50</v>
      </c>
      <c r="AG8" s="5" t="s">
        <v>62</v>
      </c>
      <c r="AH8" s="3" t="s">
        <v>63</v>
      </c>
      <c r="AI8" s="3" t="s">
        <v>51</v>
      </c>
      <c r="AJ8" s="3" t="s">
        <v>37</v>
      </c>
      <c r="AK8" s="3" t="s">
        <v>52</v>
      </c>
      <c r="AL8" s="3" t="s">
        <v>38</v>
      </c>
      <c r="AM8" s="3" t="s">
        <v>53</v>
      </c>
      <c r="AN8" s="3" t="s">
        <v>64</v>
      </c>
      <c r="AO8" s="52" t="s">
        <v>54</v>
      </c>
      <c r="AP8" s="6" t="s">
        <v>55</v>
      </c>
      <c r="AQ8" s="6" t="s">
        <v>56</v>
      </c>
    </row>
    <row r="9" spans="1:44" s="34" customFormat="1" ht="49.5" customHeight="1" thickBot="1" thickTop="1">
      <c r="A9" s="42" t="s">
        <v>24</v>
      </c>
      <c r="B9" s="10">
        <v>269</v>
      </c>
      <c r="C9" s="11">
        <v>65</v>
      </c>
      <c r="D9" s="23">
        <v>22</v>
      </c>
      <c r="E9" s="23">
        <v>11</v>
      </c>
      <c r="F9" s="11">
        <v>3</v>
      </c>
      <c r="G9" s="27">
        <v>11</v>
      </c>
      <c r="H9" s="26">
        <v>7</v>
      </c>
      <c r="I9" s="11">
        <v>0</v>
      </c>
      <c r="J9" s="11">
        <v>3</v>
      </c>
      <c r="K9" s="35">
        <v>5</v>
      </c>
      <c r="L9" s="36">
        <v>1</v>
      </c>
      <c r="M9" s="48">
        <f>8144+2484</f>
        <v>10628</v>
      </c>
      <c r="N9" s="35">
        <f>622+1557</f>
        <v>2179</v>
      </c>
      <c r="O9" s="35">
        <f>107+28</f>
        <v>135</v>
      </c>
      <c r="P9" s="35">
        <v>52</v>
      </c>
      <c r="Q9" s="35">
        <v>106</v>
      </c>
      <c r="R9" s="35">
        <f>393+93</f>
        <v>486</v>
      </c>
      <c r="S9" s="35">
        <f>169+109</f>
        <v>278</v>
      </c>
      <c r="T9" s="39">
        <f>84+32</f>
        <v>116</v>
      </c>
      <c r="U9" s="48">
        <v>318</v>
      </c>
      <c r="V9" s="35">
        <v>0</v>
      </c>
      <c r="W9" s="36">
        <v>17</v>
      </c>
      <c r="X9" s="48">
        <v>0</v>
      </c>
      <c r="Y9" s="11">
        <v>0</v>
      </c>
      <c r="Z9" s="11">
        <v>0</v>
      </c>
      <c r="AA9" s="11">
        <v>0</v>
      </c>
      <c r="AB9" s="12">
        <v>0</v>
      </c>
      <c r="AC9" s="23">
        <v>0</v>
      </c>
      <c r="AD9" s="11">
        <v>0</v>
      </c>
      <c r="AE9" s="11">
        <v>0</v>
      </c>
      <c r="AF9" s="20">
        <v>0</v>
      </c>
      <c r="AG9" s="10">
        <v>41</v>
      </c>
      <c r="AH9" s="11">
        <v>5</v>
      </c>
      <c r="AI9" s="35">
        <v>400</v>
      </c>
      <c r="AJ9" s="35">
        <v>0</v>
      </c>
      <c r="AK9" s="35">
        <v>13</v>
      </c>
      <c r="AL9" s="35">
        <v>19</v>
      </c>
      <c r="AM9" s="35">
        <v>0</v>
      </c>
      <c r="AN9" s="53">
        <v>13</v>
      </c>
      <c r="AO9" s="23">
        <v>0</v>
      </c>
      <c r="AP9" s="11">
        <v>0</v>
      </c>
      <c r="AQ9" s="12">
        <v>0</v>
      </c>
      <c r="AR9" s="33"/>
    </row>
    <row r="10" spans="1:43" s="34" customFormat="1" ht="49.5" customHeight="1" thickBot="1" thickTop="1">
      <c r="A10" s="42" t="s">
        <v>31</v>
      </c>
      <c r="B10" s="13">
        <v>271</v>
      </c>
      <c r="C10" s="14">
        <v>47</v>
      </c>
      <c r="D10" s="24">
        <v>13</v>
      </c>
      <c r="E10" s="24">
        <v>1</v>
      </c>
      <c r="F10" s="14">
        <v>0</v>
      </c>
      <c r="G10" s="29">
        <v>1</v>
      </c>
      <c r="H10" s="28">
        <v>7</v>
      </c>
      <c r="I10" s="14">
        <v>0</v>
      </c>
      <c r="J10" s="14">
        <v>0</v>
      </c>
      <c r="K10" s="14">
        <v>2</v>
      </c>
      <c r="L10" s="21">
        <v>1</v>
      </c>
      <c r="M10" s="13">
        <f>5085+4214</f>
        <v>9299</v>
      </c>
      <c r="N10" s="14">
        <f>80+415</f>
        <v>495</v>
      </c>
      <c r="O10" s="14">
        <v>3</v>
      </c>
      <c r="P10" s="14">
        <v>0</v>
      </c>
      <c r="Q10" s="14">
        <f>73+69</f>
        <v>142</v>
      </c>
      <c r="R10" s="14">
        <f>66+54</f>
        <v>120</v>
      </c>
      <c r="S10" s="14">
        <f>362+219</f>
        <v>581</v>
      </c>
      <c r="T10" s="14">
        <v>0</v>
      </c>
      <c r="U10" s="13">
        <v>195</v>
      </c>
      <c r="V10" s="14">
        <v>0</v>
      </c>
      <c r="W10" s="14">
        <v>0</v>
      </c>
      <c r="X10" s="13">
        <v>0</v>
      </c>
      <c r="Y10" s="14">
        <v>0</v>
      </c>
      <c r="Z10" s="14">
        <v>0</v>
      </c>
      <c r="AA10" s="14">
        <v>8</v>
      </c>
      <c r="AB10" s="15">
        <v>0</v>
      </c>
      <c r="AC10" s="24">
        <v>0</v>
      </c>
      <c r="AD10" s="14">
        <v>0</v>
      </c>
      <c r="AE10" s="14">
        <v>0</v>
      </c>
      <c r="AF10" s="21">
        <v>0</v>
      </c>
      <c r="AG10" s="13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5">
        <v>0</v>
      </c>
      <c r="AO10" s="24">
        <v>37</v>
      </c>
      <c r="AP10" s="14">
        <v>0</v>
      </c>
      <c r="AQ10" s="15">
        <v>0</v>
      </c>
    </row>
    <row r="11" spans="1:44" s="34" customFormat="1" ht="49.5" customHeight="1" thickBot="1" thickTop="1">
      <c r="A11" s="42" t="s">
        <v>25</v>
      </c>
      <c r="B11" s="13">
        <v>403</v>
      </c>
      <c r="C11" s="14">
        <v>120</v>
      </c>
      <c r="D11" s="24">
        <v>79</v>
      </c>
      <c r="E11" s="24">
        <v>0</v>
      </c>
      <c r="F11" s="14">
        <v>0</v>
      </c>
      <c r="G11" s="29">
        <v>2</v>
      </c>
      <c r="H11" s="28">
        <v>0</v>
      </c>
      <c r="I11" s="14">
        <v>0</v>
      </c>
      <c r="J11" s="14">
        <v>0</v>
      </c>
      <c r="K11" s="14">
        <v>0</v>
      </c>
      <c r="L11" s="21">
        <v>0</v>
      </c>
      <c r="M11" s="13">
        <f>9689+8000</f>
        <v>17689</v>
      </c>
      <c r="N11" s="14">
        <f>453+2911</f>
        <v>3364</v>
      </c>
      <c r="O11" s="14">
        <f>873+669</f>
        <v>1542</v>
      </c>
      <c r="P11" s="14">
        <f>45+63</f>
        <v>108</v>
      </c>
      <c r="Q11" s="14">
        <f>136+58</f>
        <v>194</v>
      </c>
      <c r="R11" s="14">
        <f>249+211</f>
        <v>460</v>
      </c>
      <c r="S11" s="14">
        <f>404+258</f>
        <v>662</v>
      </c>
      <c r="T11" s="14">
        <f>84+142</f>
        <v>226</v>
      </c>
      <c r="U11" s="13">
        <v>1627</v>
      </c>
      <c r="V11" s="14">
        <v>70</v>
      </c>
      <c r="W11" s="14">
        <v>61</v>
      </c>
      <c r="X11" s="13">
        <v>0</v>
      </c>
      <c r="Y11" s="14">
        <v>0</v>
      </c>
      <c r="Z11" s="14">
        <v>0</v>
      </c>
      <c r="AA11" s="14">
        <v>0</v>
      </c>
      <c r="AB11" s="15">
        <v>0</v>
      </c>
      <c r="AC11" s="24">
        <v>0</v>
      </c>
      <c r="AD11" s="14">
        <v>0</v>
      </c>
      <c r="AE11" s="14">
        <v>0</v>
      </c>
      <c r="AF11" s="21">
        <v>0</v>
      </c>
      <c r="AG11" s="13">
        <v>1</v>
      </c>
      <c r="AH11" s="14">
        <v>0</v>
      </c>
      <c r="AI11" s="14">
        <v>85</v>
      </c>
      <c r="AJ11" s="14">
        <v>0</v>
      </c>
      <c r="AK11" s="14">
        <v>0</v>
      </c>
      <c r="AL11" s="14">
        <v>0</v>
      </c>
      <c r="AM11" s="14">
        <v>0</v>
      </c>
      <c r="AN11" s="15">
        <v>0</v>
      </c>
      <c r="AO11" s="24">
        <v>0</v>
      </c>
      <c r="AP11" s="14">
        <v>0</v>
      </c>
      <c r="AQ11" s="15">
        <v>0</v>
      </c>
      <c r="AR11" s="33"/>
    </row>
    <row r="12" spans="1:43" s="34" customFormat="1" ht="49.5" customHeight="1" thickBot="1" thickTop="1">
      <c r="A12" s="42" t="s">
        <v>26</v>
      </c>
      <c r="B12" s="13">
        <v>215</v>
      </c>
      <c r="C12" s="14">
        <v>82</v>
      </c>
      <c r="D12" s="24">
        <v>73</v>
      </c>
      <c r="E12" s="24">
        <v>6</v>
      </c>
      <c r="F12" s="14">
        <v>0</v>
      </c>
      <c r="G12" s="29">
        <v>1</v>
      </c>
      <c r="H12" s="28">
        <v>5</v>
      </c>
      <c r="I12" s="14">
        <v>1</v>
      </c>
      <c r="J12" s="14">
        <v>0</v>
      </c>
      <c r="K12" s="14">
        <v>5</v>
      </c>
      <c r="L12" s="21">
        <v>0</v>
      </c>
      <c r="M12" s="13">
        <f>5653+3152</f>
        <v>8805</v>
      </c>
      <c r="N12" s="14">
        <f>399+936</f>
        <v>1335</v>
      </c>
      <c r="O12" s="14">
        <f>372+175</f>
        <v>547</v>
      </c>
      <c r="P12" s="14">
        <v>176</v>
      </c>
      <c r="Q12" s="14">
        <f>162+52</f>
        <v>214</v>
      </c>
      <c r="R12" s="14">
        <v>300</v>
      </c>
      <c r="S12" s="14">
        <v>30</v>
      </c>
      <c r="T12" s="14">
        <v>0</v>
      </c>
      <c r="U12" s="13">
        <v>385</v>
      </c>
      <c r="V12" s="14">
        <v>0</v>
      </c>
      <c r="W12" s="14">
        <v>28</v>
      </c>
      <c r="X12" s="13">
        <v>0</v>
      </c>
      <c r="Y12" s="14">
        <v>0</v>
      </c>
      <c r="Z12" s="14">
        <v>0</v>
      </c>
      <c r="AA12" s="14">
        <v>0</v>
      </c>
      <c r="AB12" s="15">
        <v>0</v>
      </c>
      <c r="AC12" s="24">
        <v>0</v>
      </c>
      <c r="AD12" s="14">
        <v>0</v>
      </c>
      <c r="AE12" s="14">
        <v>0</v>
      </c>
      <c r="AF12" s="21">
        <v>0</v>
      </c>
      <c r="AG12" s="13">
        <v>17</v>
      </c>
      <c r="AH12" s="14">
        <v>5</v>
      </c>
      <c r="AI12" s="14">
        <v>847</v>
      </c>
      <c r="AJ12" s="14">
        <v>63</v>
      </c>
      <c r="AK12" s="14">
        <v>19</v>
      </c>
      <c r="AL12" s="14">
        <v>0</v>
      </c>
      <c r="AM12" s="14">
        <v>0</v>
      </c>
      <c r="AN12" s="15">
        <v>0</v>
      </c>
      <c r="AO12" s="24">
        <v>0</v>
      </c>
      <c r="AP12" s="14">
        <v>0</v>
      </c>
      <c r="AQ12" s="15">
        <v>0</v>
      </c>
    </row>
    <row r="13" spans="1:44" s="34" customFormat="1" ht="49.5" customHeight="1" thickBot="1" thickTop="1">
      <c r="A13" s="42" t="s">
        <v>27</v>
      </c>
      <c r="B13" s="13">
        <v>281</v>
      </c>
      <c r="C13" s="14">
        <v>21</v>
      </c>
      <c r="D13" s="24">
        <v>4</v>
      </c>
      <c r="E13" s="24">
        <v>1</v>
      </c>
      <c r="F13" s="14">
        <v>0</v>
      </c>
      <c r="G13" s="29">
        <v>0</v>
      </c>
      <c r="H13" s="28">
        <v>0</v>
      </c>
      <c r="I13" s="14">
        <v>0</v>
      </c>
      <c r="J13" s="14">
        <v>0</v>
      </c>
      <c r="K13" s="14">
        <v>0</v>
      </c>
      <c r="L13" s="21">
        <v>2</v>
      </c>
      <c r="M13" s="13">
        <f>15309+4381</f>
        <v>19690</v>
      </c>
      <c r="N13" s="14">
        <f>1515+587</f>
        <v>2102</v>
      </c>
      <c r="O13" s="14">
        <v>410</v>
      </c>
      <c r="P13" s="14">
        <f>95+131</f>
        <v>226</v>
      </c>
      <c r="Q13" s="14">
        <v>26</v>
      </c>
      <c r="R13" s="14">
        <v>66</v>
      </c>
      <c r="S13" s="14">
        <v>188</v>
      </c>
      <c r="T13" s="14">
        <v>130</v>
      </c>
      <c r="U13" s="13">
        <v>1864</v>
      </c>
      <c r="V13" s="14">
        <v>0</v>
      </c>
      <c r="W13" s="14">
        <v>0</v>
      </c>
      <c r="X13" s="13">
        <v>0</v>
      </c>
      <c r="Y13" s="14">
        <v>0</v>
      </c>
      <c r="Z13" s="14">
        <v>0</v>
      </c>
      <c r="AA13" s="14">
        <v>0</v>
      </c>
      <c r="AB13" s="15">
        <v>0</v>
      </c>
      <c r="AC13" s="24">
        <v>0</v>
      </c>
      <c r="AD13" s="14">
        <v>0</v>
      </c>
      <c r="AE13" s="14">
        <v>0</v>
      </c>
      <c r="AF13" s="21">
        <v>0</v>
      </c>
      <c r="AG13" s="13">
        <v>34</v>
      </c>
      <c r="AH13" s="14">
        <v>0</v>
      </c>
      <c r="AI13" s="14">
        <v>1350</v>
      </c>
      <c r="AJ13" s="14">
        <v>0</v>
      </c>
      <c r="AK13" s="14">
        <v>0</v>
      </c>
      <c r="AL13" s="14">
        <v>0</v>
      </c>
      <c r="AM13" s="14">
        <v>0</v>
      </c>
      <c r="AN13" s="15">
        <v>0</v>
      </c>
      <c r="AO13" s="24">
        <v>88</v>
      </c>
      <c r="AP13" s="14">
        <v>76</v>
      </c>
      <c r="AQ13" s="15">
        <v>0</v>
      </c>
      <c r="AR13" s="33"/>
    </row>
    <row r="14" spans="1:44" s="34" customFormat="1" ht="49.5" customHeight="1" thickBot="1" thickTop="1">
      <c r="A14" s="43" t="s">
        <v>28</v>
      </c>
      <c r="B14" s="13">
        <v>387</v>
      </c>
      <c r="C14" s="14">
        <v>121</v>
      </c>
      <c r="D14" s="24">
        <v>54</v>
      </c>
      <c r="E14" s="24">
        <v>2</v>
      </c>
      <c r="F14" s="14">
        <v>0</v>
      </c>
      <c r="G14" s="29">
        <v>2</v>
      </c>
      <c r="H14" s="28">
        <v>1</v>
      </c>
      <c r="I14" s="14">
        <v>0</v>
      </c>
      <c r="J14" s="14">
        <v>0</v>
      </c>
      <c r="K14" s="14">
        <v>1</v>
      </c>
      <c r="L14" s="21">
        <v>0</v>
      </c>
      <c r="M14" s="13">
        <f>4923+1645</f>
        <v>6568</v>
      </c>
      <c r="N14" s="14">
        <f>239+32</f>
        <v>271</v>
      </c>
      <c r="O14" s="14">
        <f>94+11</f>
        <v>105</v>
      </c>
      <c r="P14" s="14">
        <v>0</v>
      </c>
      <c r="Q14" s="14">
        <v>59</v>
      </c>
      <c r="R14" s="14">
        <v>322</v>
      </c>
      <c r="S14" s="14">
        <f>493+284</f>
        <v>777</v>
      </c>
      <c r="T14" s="14">
        <v>100</v>
      </c>
      <c r="U14" s="13">
        <v>2910</v>
      </c>
      <c r="V14" s="14">
        <v>143</v>
      </c>
      <c r="W14" s="14">
        <v>211</v>
      </c>
      <c r="X14" s="13">
        <v>0</v>
      </c>
      <c r="Y14" s="14">
        <v>0</v>
      </c>
      <c r="Z14" s="14">
        <v>0</v>
      </c>
      <c r="AA14" s="14">
        <v>0</v>
      </c>
      <c r="AB14" s="15">
        <v>0</v>
      </c>
      <c r="AC14" s="24">
        <v>0</v>
      </c>
      <c r="AD14" s="14">
        <v>0</v>
      </c>
      <c r="AE14" s="14">
        <v>0</v>
      </c>
      <c r="AF14" s="21">
        <v>0</v>
      </c>
      <c r="AG14" s="13">
        <v>1</v>
      </c>
      <c r="AH14" s="14">
        <v>0</v>
      </c>
      <c r="AI14" s="14">
        <v>5</v>
      </c>
      <c r="AJ14" s="14">
        <v>0</v>
      </c>
      <c r="AK14" s="14">
        <v>0</v>
      </c>
      <c r="AL14" s="14">
        <v>0</v>
      </c>
      <c r="AM14" s="14">
        <v>0</v>
      </c>
      <c r="AN14" s="15">
        <v>0</v>
      </c>
      <c r="AO14" s="24">
        <v>0</v>
      </c>
      <c r="AP14" s="14">
        <v>0</v>
      </c>
      <c r="AQ14" s="15">
        <v>0</v>
      </c>
      <c r="AR14" s="33"/>
    </row>
    <row r="15" spans="1:43" s="34" customFormat="1" ht="49.5" customHeight="1" thickBot="1" thickTop="1">
      <c r="A15" s="42" t="s">
        <v>29</v>
      </c>
      <c r="B15" s="13">
        <v>302</v>
      </c>
      <c r="C15" s="14">
        <v>130</v>
      </c>
      <c r="D15" s="24">
        <v>55</v>
      </c>
      <c r="E15" s="24">
        <v>4</v>
      </c>
      <c r="F15" s="14">
        <v>1</v>
      </c>
      <c r="G15" s="29">
        <v>6</v>
      </c>
      <c r="H15" s="28">
        <v>3</v>
      </c>
      <c r="I15" s="14">
        <v>1</v>
      </c>
      <c r="J15" s="14">
        <v>5</v>
      </c>
      <c r="K15" s="14">
        <v>1</v>
      </c>
      <c r="L15" s="21">
        <v>2</v>
      </c>
      <c r="M15" s="13">
        <f>10738+7487</f>
        <v>18225</v>
      </c>
      <c r="N15" s="14">
        <f>656+2818</f>
        <v>3474</v>
      </c>
      <c r="O15" s="14">
        <f>1545+503</f>
        <v>2048</v>
      </c>
      <c r="P15" s="14">
        <v>81</v>
      </c>
      <c r="Q15" s="14">
        <f>1106+103</f>
        <v>1209</v>
      </c>
      <c r="R15" s="14">
        <f>185+157</f>
        <v>342</v>
      </c>
      <c r="S15" s="14">
        <f>253+236</f>
        <v>489</v>
      </c>
      <c r="T15" s="14">
        <v>8</v>
      </c>
      <c r="U15" s="13">
        <v>607</v>
      </c>
      <c r="V15" s="14">
        <v>167</v>
      </c>
      <c r="W15" s="14">
        <v>69</v>
      </c>
      <c r="X15" s="13">
        <v>0</v>
      </c>
      <c r="Y15" s="14">
        <v>30</v>
      </c>
      <c r="Z15" s="14">
        <v>0</v>
      </c>
      <c r="AA15" s="14">
        <v>30</v>
      </c>
      <c r="AB15" s="15">
        <v>0</v>
      </c>
      <c r="AC15" s="24">
        <v>0</v>
      </c>
      <c r="AD15" s="14">
        <v>0</v>
      </c>
      <c r="AE15" s="14">
        <v>0</v>
      </c>
      <c r="AF15" s="21">
        <v>0</v>
      </c>
      <c r="AG15" s="13">
        <v>2</v>
      </c>
      <c r="AH15" s="14">
        <v>2</v>
      </c>
      <c r="AI15" s="14">
        <v>511</v>
      </c>
      <c r="AJ15" s="14">
        <v>0</v>
      </c>
      <c r="AK15" s="14">
        <v>1</v>
      </c>
      <c r="AL15" s="14">
        <v>0</v>
      </c>
      <c r="AM15" s="14">
        <v>2</v>
      </c>
      <c r="AN15" s="15">
        <v>0</v>
      </c>
      <c r="AO15" s="24">
        <v>0</v>
      </c>
      <c r="AP15" s="14">
        <v>0</v>
      </c>
      <c r="AQ15" s="15">
        <v>0</v>
      </c>
    </row>
    <row r="16" spans="1:43" s="34" customFormat="1" ht="49.5" customHeight="1" thickBot="1" thickTop="1">
      <c r="A16" s="42" t="s">
        <v>30</v>
      </c>
      <c r="B16" s="16">
        <v>446</v>
      </c>
      <c r="C16" s="17">
        <v>135</v>
      </c>
      <c r="D16" s="25">
        <v>97</v>
      </c>
      <c r="E16" s="25">
        <v>3</v>
      </c>
      <c r="F16" s="17">
        <v>0</v>
      </c>
      <c r="G16" s="31">
        <v>0</v>
      </c>
      <c r="H16" s="30">
        <v>7</v>
      </c>
      <c r="I16" s="17">
        <v>0</v>
      </c>
      <c r="J16" s="17">
        <v>0</v>
      </c>
      <c r="K16" s="37">
        <v>1</v>
      </c>
      <c r="L16" s="38">
        <v>1</v>
      </c>
      <c r="M16" s="49">
        <f>13360+3467</f>
        <v>16827</v>
      </c>
      <c r="N16" s="37">
        <v>168</v>
      </c>
      <c r="O16" s="37">
        <f>1321+356</f>
        <v>1677</v>
      </c>
      <c r="P16" s="37">
        <v>0</v>
      </c>
      <c r="Q16" s="37">
        <v>534</v>
      </c>
      <c r="R16" s="37">
        <f>671+93</f>
        <v>764</v>
      </c>
      <c r="S16" s="37">
        <f>209+193</f>
        <v>402</v>
      </c>
      <c r="T16" s="40">
        <f>37</f>
        <v>37</v>
      </c>
      <c r="U16" s="49">
        <v>6058</v>
      </c>
      <c r="V16" s="37">
        <v>185</v>
      </c>
      <c r="W16" s="38">
        <v>648</v>
      </c>
      <c r="X16" s="49">
        <v>0</v>
      </c>
      <c r="Y16" s="17">
        <v>0</v>
      </c>
      <c r="Z16" s="17">
        <v>0</v>
      </c>
      <c r="AA16" s="17">
        <v>0</v>
      </c>
      <c r="AB16" s="50">
        <v>0</v>
      </c>
      <c r="AC16" s="25">
        <v>0</v>
      </c>
      <c r="AD16" s="17">
        <v>0</v>
      </c>
      <c r="AE16" s="17">
        <v>0</v>
      </c>
      <c r="AF16" s="22">
        <v>0</v>
      </c>
      <c r="AG16" s="16">
        <v>18</v>
      </c>
      <c r="AH16" s="17">
        <v>1</v>
      </c>
      <c r="AI16" s="37">
        <v>368</v>
      </c>
      <c r="AJ16" s="37">
        <v>0</v>
      </c>
      <c r="AK16" s="37">
        <v>0</v>
      </c>
      <c r="AL16" s="37">
        <v>0</v>
      </c>
      <c r="AM16" s="37">
        <v>1</v>
      </c>
      <c r="AN16" s="54">
        <v>0</v>
      </c>
      <c r="AO16" s="32">
        <v>18</v>
      </c>
      <c r="AP16" s="18">
        <v>5</v>
      </c>
      <c r="AQ16" s="19">
        <v>0</v>
      </c>
    </row>
    <row r="17" spans="1:43" s="58" customFormat="1" ht="76.5" customHeight="1" thickBot="1" thickTop="1">
      <c r="A17" s="59" t="s">
        <v>3</v>
      </c>
      <c r="B17" s="60">
        <f>SUM(B9:B16)</f>
        <v>2574</v>
      </c>
      <c r="C17" s="61">
        <f>SUM(C9:C16)</f>
        <v>721</v>
      </c>
      <c r="D17" s="61">
        <f>SUM(D9:D16)</f>
        <v>397</v>
      </c>
      <c r="E17" s="62">
        <f aca="true" t="shared" si="0" ref="E17:J17">SUM(E9:E16)</f>
        <v>28</v>
      </c>
      <c r="F17" s="61">
        <f t="shared" si="0"/>
        <v>4</v>
      </c>
      <c r="G17" s="63">
        <f t="shared" si="0"/>
        <v>23</v>
      </c>
      <c r="H17" s="60">
        <f t="shared" si="0"/>
        <v>30</v>
      </c>
      <c r="I17" s="61">
        <f t="shared" si="0"/>
        <v>2</v>
      </c>
      <c r="J17" s="61">
        <f t="shared" si="0"/>
        <v>8</v>
      </c>
      <c r="K17" s="61">
        <f aca="true" t="shared" si="1" ref="K17:W17">SUM(K9:K16)</f>
        <v>15</v>
      </c>
      <c r="L17" s="64">
        <f t="shared" si="1"/>
        <v>7</v>
      </c>
      <c r="M17" s="62">
        <f t="shared" si="1"/>
        <v>107731</v>
      </c>
      <c r="N17" s="61">
        <f t="shared" si="1"/>
        <v>13388</v>
      </c>
      <c r="O17" s="61">
        <f t="shared" si="1"/>
        <v>6467</v>
      </c>
      <c r="P17" s="61">
        <f t="shared" si="1"/>
        <v>643</v>
      </c>
      <c r="Q17" s="61">
        <f t="shared" si="1"/>
        <v>2484</v>
      </c>
      <c r="R17" s="61">
        <f t="shared" si="1"/>
        <v>2860</v>
      </c>
      <c r="S17" s="61">
        <f t="shared" si="1"/>
        <v>3407</v>
      </c>
      <c r="T17" s="65">
        <f t="shared" si="1"/>
        <v>617</v>
      </c>
      <c r="U17" s="60">
        <f t="shared" si="1"/>
        <v>13964</v>
      </c>
      <c r="V17" s="61">
        <f t="shared" si="1"/>
        <v>565</v>
      </c>
      <c r="W17" s="64">
        <f t="shared" si="1"/>
        <v>1034</v>
      </c>
      <c r="X17" s="62">
        <f aca="true" t="shared" si="2" ref="X17:AH17">SUM(X9:X16)</f>
        <v>0</v>
      </c>
      <c r="Y17" s="61">
        <f t="shared" si="2"/>
        <v>30</v>
      </c>
      <c r="Z17" s="61">
        <f t="shared" si="2"/>
        <v>0</v>
      </c>
      <c r="AA17" s="61">
        <f t="shared" si="2"/>
        <v>38</v>
      </c>
      <c r="AB17" s="63">
        <f t="shared" si="2"/>
        <v>0</v>
      </c>
      <c r="AC17" s="60">
        <f t="shared" si="2"/>
        <v>0</v>
      </c>
      <c r="AD17" s="61">
        <f t="shared" si="2"/>
        <v>0</v>
      </c>
      <c r="AE17" s="61">
        <f t="shared" si="2"/>
        <v>0</v>
      </c>
      <c r="AF17" s="64">
        <f t="shared" si="2"/>
        <v>0</v>
      </c>
      <c r="AG17" s="62">
        <f t="shared" si="2"/>
        <v>114</v>
      </c>
      <c r="AH17" s="61">
        <f t="shared" si="2"/>
        <v>13</v>
      </c>
      <c r="AI17" s="61">
        <f aca="true" t="shared" si="3" ref="AI17:AQ17">SUM(AI9:AI16)</f>
        <v>3566</v>
      </c>
      <c r="AJ17" s="61">
        <f t="shared" si="3"/>
        <v>63</v>
      </c>
      <c r="AK17" s="61">
        <f t="shared" si="3"/>
        <v>33</v>
      </c>
      <c r="AL17" s="61">
        <f t="shared" si="3"/>
        <v>19</v>
      </c>
      <c r="AM17" s="61">
        <f t="shared" si="3"/>
        <v>3</v>
      </c>
      <c r="AN17" s="63">
        <f t="shared" si="3"/>
        <v>13</v>
      </c>
      <c r="AO17" s="60">
        <f t="shared" si="3"/>
        <v>143</v>
      </c>
      <c r="AP17" s="61">
        <f t="shared" si="3"/>
        <v>81</v>
      </c>
      <c r="AQ17" s="64">
        <f t="shared" si="3"/>
        <v>0</v>
      </c>
    </row>
    <row r="18" ht="13.5" thickTop="1"/>
    <row r="19" ht="15">
      <c r="B19" s="8" t="s">
        <v>9</v>
      </c>
    </row>
    <row r="20" spans="2:44" ht="14.25">
      <c r="B20" s="7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 t="s">
        <v>14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14.25">
      <c r="A21" s="7"/>
      <c r="B21" s="7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14.25">
      <c r="A22" s="7"/>
      <c r="B22" s="7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 t="s">
        <v>22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14.25">
      <c r="A23" s="7"/>
      <c r="B23" s="7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 t="s">
        <v>20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</sheetData>
  <mergeCells count="14">
    <mergeCell ref="X7:AB7"/>
    <mergeCell ref="AC7:AF7"/>
    <mergeCell ref="M7:T7"/>
    <mergeCell ref="U7:W7"/>
    <mergeCell ref="E7:G7"/>
    <mergeCell ref="A3:AQ3"/>
    <mergeCell ref="A4:AQ4"/>
    <mergeCell ref="H7:L7"/>
    <mergeCell ref="AO7:AQ7"/>
    <mergeCell ref="A7:A8"/>
    <mergeCell ref="B7:B8"/>
    <mergeCell ref="C7:C8"/>
    <mergeCell ref="D7:D8"/>
    <mergeCell ref="AG7:AN7"/>
  </mergeCells>
  <printOptions horizontalCentered="1"/>
  <pageMargins left="0.1968503937007874" right="0.07874015748031496" top="0.5905511811023623" bottom="0.5905511811023623" header="0.5118110236220472" footer="0.5118110236220472"/>
  <pageSetup horizontalDpi="1200" verticalDpi="12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25"/>
  <sheetViews>
    <sheetView zoomScale="75" zoomScaleNormal="75" workbookViewId="0" topLeftCell="A1">
      <selection activeCell="C9" sqref="C9"/>
    </sheetView>
  </sheetViews>
  <sheetFormatPr defaultColWidth="9.00390625" defaultRowHeight="12.75"/>
  <cols>
    <col min="1" max="1" width="15.875" style="0" customWidth="1"/>
    <col min="2" max="2" width="6.625" style="0" customWidth="1"/>
    <col min="3" max="4" width="7.00390625" style="0" customWidth="1"/>
    <col min="5" max="5" width="5.00390625" style="0" customWidth="1"/>
    <col min="6" max="6" width="5.125" style="0" customWidth="1"/>
    <col min="7" max="7" width="7.125" style="0" customWidth="1"/>
    <col min="8" max="8" width="4.875" style="0" customWidth="1"/>
    <col min="9" max="10" width="4.75390625" style="0" customWidth="1"/>
    <col min="11" max="11" width="5.125" style="0" customWidth="1"/>
    <col min="12" max="12" width="5.375" style="0" customWidth="1"/>
    <col min="13" max="13" width="8.75390625" style="0" customWidth="1"/>
    <col min="14" max="14" width="8.125" style="0" customWidth="1"/>
    <col min="15" max="15" width="6.25390625" style="0" customWidth="1"/>
    <col min="16" max="16" width="6.125" style="0" customWidth="1"/>
    <col min="17" max="17" width="7.25390625" style="0" customWidth="1"/>
    <col min="18" max="18" width="6.125" style="0" customWidth="1"/>
    <col min="19" max="19" width="7.125" style="0" customWidth="1"/>
    <col min="20" max="20" width="6.125" style="0" customWidth="1"/>
    <col min="21" max="21" width="7.875" style="0" customWidth="1"/>
    <col min="22" max="22" width="5.75390625" style="0" customWidth="1"/>
    <col min="23" max="23" width="6.375" style="0" customWidth="1"/>
    <col min="24" max="24" width="4.875" style="0" customWidth="1"/>
    <col min="25" max="25" width="5.125" style="0" customWidth="1"/>
    <col min="26" max="26" width="5.375" style="0" customWidth="1"/>
    <col min="27" max="27" width="4.75390625" style="0" customWidth="1"/>
    <col min="28" max="28" width="4.25390625" style="0" customWidth="1"/>
    <col min="29" max="29" width="4.75390625" style="0" bestFit="1" customWidth="1"/>
    <col min="30" max="30" width="5.375" style="0" customWidth="1"/>
    <col min="31" max="31" width="6.125" style="0" customWidth="1"/>
    <col min="32" max="32" width="4.375" style="0" customWidth="1"/>
    <col min="33" max="33" width="5.375" style="0" customWidth="1"/>
    <col min="34" max="34" width="5.125" style="0" customWidth="1"/>
    <col min="35" max="35" width="6.00390625" style="0" customWidth="1"/>
    <col min="36" max="36" width="4.625" style="0" customWidth="1"/>
    <col min="37" max="37" width="4.375" style="0" customWidth="1"/>
    <col min="38" max="38" width="4.625" style="0" customWidth="1"/>
    <col min="39" max="39" width="4.375" style="0" customWidth="1"/>
    <col min="40" max="40" width="5.625" style="0" customWidth="1"/>
    <col min="41" max="41" width="5.00390625" style="0" customWidth="1"/>
    <col min="42" max="42" width="4.875" style="0" customWidth="1"/>
    <col min="43" max="43" width="6.125" style="0" customWidth="1"/>
  </cols>
  <sheetData>
    <row r="2" spans="1:43" ht="20.25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3" ht="17.25" customHeight="1">
      <c r="A3" s="82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</row>
    <row r="4" spans="1:32" ht="17.25" customHeight="1">
      <c r="A4" s="5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ht="17.25" customHeight="1">
      <c r="A5" s="5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4:43" ht="13.5" thickBot="1">
      <c r="D6" s="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ht="24" customHeight="1" thickBot="1" thickTop="1">
      <c r="A7" s="89" t="s">
        <v>69</v>
      </c>
      <c r="B7" s="90" t="s">
        <v>1</v>
      </c>
      <c r="C7" s="70" t="s">
        <v>2</v>
      </c>
      <c r="D7" s="70" t="s">
        <v>61</v>
      </c>
      <c r="E7" s="77" t="s">
        <v>23</v>
      </c>
      <c r="F7" s="78"/>
      <c r="G7" s="79"/>
      <c r="H7" s="83" t="s">
        <v>5</v>
      </c>
      <c r="I7" s="77"/>
      <c r="J7" s="77"/>
      <c r="K7" s="77"/>
      <c r="L7" s="84"/>
      <c r="M7" s="72" t="s">
        <v>58</v>
      </c>
      <c r="N7" s="73"/>
      <c r="O7" s="73"/>
      <c r="P7" s="73"/>
      <c r="Q7" s="73"/>
      <c r="R7" s="73"/>
      <c r="S7" s="73"/>
      <c r="T7" s="74"/>
      <c r="U7" s="75" t="s">
        <v>6</v>
      </c>
      <c r="V7" s="76"/>
      <c r="W7" s="76"/>
      <c r="X7" s="86" t="s">
        <v>60</v>
      </c>
      <c r="Y7" s="86"/>
      <c r="Z7" s="86"/>
      <c r="AA7" s="86"/>
      <c r="AB7" s="86"/>
      <c r="AC7" s="86" t="s">
        <v>7</v>
      </c>
      <c r="AD7" s="86"/>
      <c r="AE7" s="86"/>
      <c r="AF7" s="75"/>
      <c r="AG7" s="75" t="s">
        <v>65</v>
      </c>
      <c r="AH7" s="76"/>
      <c r="AI7" s="76"/>
      <c r="AJ7" s="76"/>
      <c r="AK7" s="76"/>
      <c r="AL7" s="76"/>
      <c r="AM7" s="76"/>
      <c r="AN7" s="85"/>
      <c r="AO7" s="85" t="s">
        <v>8</v>
      </c>
      <c r="AP7" s="86"/>
      <c r="AQ7" s="86"/>
    </row>
    <row r="8" spans="1:43" ht="159.75" customHeight="1" thickBot="1" thickTop="1">
      <c r="A8" s="91"/>
      <c r="B8" s="92"/>
      <c r="C8" s="71"/>
      <c r="D8" s="71"/>
      <c r="E8" s="44" t="s">
        <v>32</v>
      </c>
      <c r="F8" s="9" t="s">
        <v>33</v>
      </c>
      <c r="G8" s="9" t="s">
        <v>16</v>
      </c>
      <c r="H8" s="1" t="s">
        <v>34</v>
      </c>
      <c r="I8" s="1" t="s">
        <v>15</v>
      </c>
      <c r="J8" s="1" t="s">
        <v>16</v>
      </c>
      <c r="K8" s="1" t="s">
        <v>4</v>
      </c>
      <c r="L8" s="9" t="s">
        <v>17</v>
      </c>
      <c r="M8" s="45" t="s">
        <v>35</v>
      </c>
      <c r="N8" s="1" t="s">
        <v>36</v>
      </c>
      <c r="O8" s="1" t="s">
        <v>57</v>
      </c>
      <c r="P8" s="1" t="s">
        <v>36</v>
      </c>
      <c r="Q8" s="1" t="s">
        <v>37</v>
      </c>
      <c r="R8" s="1" t="s">
        <v>18</v>
      </c>
      <c r="S8" s="1" t="s">
        <v>38</v>
      </c>
      <c r="T8" s="2" t="s">
        <v>19</v>
      </c>
      <c r="U8" s="3" t="s">
        <v>39</v>
      </c>
      <c r="V8" s="3" t="s">
        <v>40</v>
      </c>
      <c r="W8" s="3" t="s">
        <v>41</v>
      </c>
      <c r="X8" s="41" t="s">
        <v>42</v>
      </c>
      <c r="Y8" s="3" t="s">
        <v>43</v>
      </c>
      <c r="Z8" s="3" t="s">
        <v>44</v>
      </c>
      <c r="AA8" s="3" t="s">
        <v>45</v>
      </c>
      <c r="AB8" s="47" t="s">
        <v>46</v>
      </c>
      <c r="AC8" s="46" t="s">
        <v>47</v>
      </c>
      <c r="AD8" s="3" t="s">
        <v>48</v>
      </c>
      <c r="AE8" s="3" t="s">
        <v>49</v>
      </c>
      <c r="AF8" s="51" t="s">
        <v>50</v>
      </c>
      <c r="AG8" s="5" t="s">
        <v>62</v>
      </c>
      <c r="AH8" s="3" t="s">
        <v>63</v>
      </c>
      <c r="AI8" s="3" t="s">
        <v>51</v>
      </c>
      <c r="AJ8" s="3" t="s">
        <v>37</v>
      </c>
      <c r="AK8" s="3" t="s">
        <v>52</v>
      </c>
      <c r="AL8" s="3" t="s">
        <v>38</v>
      </c>
      <c r="AM8" s="3" t="s">
        <v>53</v>
      </c>
      <c r="AN8" s="3" t="s">
        <v>64</v>
      </c>
      <c r="AO8" s="52" t="s">
        <v>54</v>
      </c>
      <c r="AP8" s="6" t="s">
        <v>55</v>
      </c>
      <c r="AQ8" s="6" t="s">
        <v>56</v>
      </c>
    </row>
    <row r="9" spans="1:44" ht="39.75" customHeight="1" thickBot="1" thickTop="1">
      <c r="A9" s="93" t="s">
        <v>70</v>
      </c>
      <c r="B9" s="94">
        <v>518</v>
      </c>
      <c r="C9" s="94">
        <v>186</v>
      </c>
      <c r="D9" s="94">
        <v>81</v>
      </c>
      <c r="E9" s="94">
        <v>3</v>
      </c>
      <c r="F9" s="94">
        <v>0</v>
      </c>
      <c r="G9" s="94">
        <v>5</v>
      </c>
      <c r="H9" s="94">
        <v>6</v>
      </c>
      <c r="I9" s="94">
        <v>1</v>
      </c>
      <c r="J9" s="94">
        <v>3</v>
      </c>
      <c r="K9" s="94">
        <v>2</v>
      </c>
      <c r="L9" s="94">
        <v>2</v>
      </c>
      <c r="M9" s="94">
        <f>21323+1484</f>
        <v>22807</v>
      </c>
      <c r="N9" s="94">
        <f>137+2377</f>
        <v>2514</v>
      </c>
      <c r="O9" s="94">
        <f>96+1449</f>
        <v>1545</v>
      </c>
      <c r="P9" s="94">
        <v>177</v>
      </c>
      <c r="Q9" s="94">
        <f>28+176</f>
        <v>204</v>
      </c>
      <c r="R9" s="94">
        <f>74+305</f>
        <v>379</v>
      </c>
      <c r="S9" s="94">
        <f>69+1356</f>
        <v>1425</v>
      </c>
      <c r="T9" s="94">
        <f>25+206</f>
        <v>231</v>
      </c>
      <c r="U9">
        <v>393</v>
      </c>
      <c r="V9" s="94">
        <v>3</v>
      </c>
      <c r="W9" s="94">
        <v>31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5">
        <v>0</v>
      </c>
      <c r="AE9" s="94">
        <v>0</v>
      </c>
      <c r="AF9" s="94">
        <v>0</v>
      </c>
      <c r="AG9" s="94">
        <v>50</v>
      </c>
      <c r="AH9" s="94">
        <v>4</v>
      </c>
      <c r="AI9" s="94">
        <v>1718</v>
      </c>
      <c r="AJ9" s="94">
        <v>0</v>
      </c>
      <c r="AK9" s="94">
        <v>2</v>
      </c>
      <c r="AL9" s="94">
        <v>0</v>
      </c>
      <c r="AM9" s="94">
        <v>3</v>
      </c>
      <c r="AN9" s="94">
        <v>0</v>
      </c>
      <c r="AO9" s="94">
        <v>28</v>
      </c>
      <c r="AP9" s="94">
        <v>5</v>
      </c>
      <c r="AQ9" s="95">
        <v>0</v>
      </c>
      <c r="AR9" s="96"/>
    </row>
    <row r="10" spans="1:44" ht="39.75" customHeight="1" thickBot="1" thickTop="1">
      <c r="A10" s="93" t="s">
        <v>71</v>
      </c>
      <c r="B10" s="97">
        <v>1371</v>
      </c>
      <c r="C10" s="97">
        <v>383</v>
      </c>
      <c r="D10" s="97">
        <v>223</v>
      </c>
      <c r="E10" s="97">
        <v>11</v>
      </c>
      <c r="F10" s="97">
        <v>1</v>
      </c>
      <c r="G10" s="97">
        <v>9</v>
      </c>
      <c r="H10" s="97">
        <v>10</v>
      </c>
      <c r="I10" s="97">
        <v>1</v>
      </c>
      <c r="J10" s="97">
        <v>3</v>
      </c>
      <c r="K10" s="97">
        <v>13</v>
      </c>
      <c r="L10" s="97">
        <v>5</v>
      </c>
      <c r="M10" s="97">
        <f>5609+65757</f>
        <v>71366</v>
      </c>
      <c r="N10" s="97">
        <f>150+3713</f>
        <v>3863</v>
      </c>
      <c r="O10" s="97">
        <f>445+3941</f>
        <v>4386</v>
      </c>
      <c r="P10" s="97">
        <v>293</v>
      </c>
      <c r="Q10" s="97">
        <f>56+2066</f>
        <v>2122</v>
      </c>
      <c r="R10" s="97">
        <f>128+1967</f>
        <v>2095</v>
      </c>
      <c r="S10" s="97">
        <f>466+1420</f>
        <v>1886</v>
      </c>
      <c r="T10" s="97">
        <f>33+285</f>
        <v>318</v>
      </c>
      <c r="U10" s="97">
        <v>655</v>
      </c>
      <c r="V10" s="97">
        <v>44</v>
      </c>
      <c r="W10" s="97">
        <v>53</v>
      </c>
      <c r="X10" s="97">
        <v>0</v>
      </c>
      <c r="Y10" s="97">
        <v>0</v>
      </c>
      <c r="Z10" s="97">
        <v>0</v>
      </c>
      <c r="AA10" s="97">
        <v>8</v>
      </c>
      <c r="AB10" s="97">
        <v>0</v>
      </c>
      <c r="AC10" s="98">
        <v>0</v>
      </c>
      <c r="AD10" s="97">
        <v>0</v>
      </c>
      <c r="AE10" s="97">
        <v>0</v>
      </c>
      <c r="AF10" s="97">
        <v>0</v>
      </c>
      <c r="AG10" s="97">
        <v>62</v>
      </c>
      <c r="AH10" s="97">
        <v>8</v>
      </c>
      <c r="AI10" s="97">
        <v>1835</v>
      </c>
      <c r="AJ10" s="97">
        <v>63</v>
      </c>
      <c r="AK10" s="97">
        <v>31</v>
      </c>
      <c r="AL10" s="97">
        <v>19</v>
      </c>
      <c r="AM10" s="97">
        <v>0</v>
      </c>
      <c r="AN10" s="97">
        <v>12</v>
      </c>
      <c r="AO10" s="97">
        <v>37</v>
      </c>
      <c r="AP10" s="97">
        <v>0</v>
      </c>
      <c r="AQ10" s="99">
        <v>0</v>
      </c>
      <c r="AR10" s="96"/>
    </row>
    <row r="11" spans="1:43" ht="45" customHeight="1" thickBot="1" thickTop="1">
      <c r="A11" s="93" t="s">
        <v>72</v>
      </c>
      <c r="B11" s="97">
        <v>487</v>
      </c>
      <c r="C11" s="97">
        <v>95</v>
      </c>
      <c r="D11" s="97">
        <v>55</v>
      </c>
      <c r="E11" s="97">
        <v>6</v>
      </c>
      <c r="F11" s="97">
        <v>2</v>
      </c>
      <c r="G11" s="97">
        <v>4</v>
      </c>
      <c r="H11" s="97">
        <v>12</v>
      </c>
      <c r="I11" s="97">
        <v>0</v>
      </c>
      <c r="J11" s="97">
        <v>2</v>
      </c>
      <c r="K11" s="97">
        <v>0</v>
      </c>
      <c r="L11" s="97">
        <v>0</v>
      </c>
      <c r="M11" s="97">
        <f>686+11915</f>
        <v>12601</v>
      </c>
      <c r="N11" s="97">
        <f>81+6674</f>
        <v>6755</v>
      </c>
      <c r="O11" s="97">
        <f>15+381</f>
        <v>396</v>
      </c>
      <c r="P11" s="97">
        <f>156</f>
        <v>156</v>
      </c>
      <c r="Q11" s="97">
        <f>138</f>
        <v>138</v>
      </c>
      <c r="R11" s="97">
        <f>29+337</f>
        <v>366</v>
      </c>
      <c r="S11" s="97">
        <v>60</v>
      </c>
      <c r="T11" s="97">
        <v>0</v>
      </c>
      <c r="U11" s="97">
        <v>7324</v>
      </c>
      <c r="V11" s="97">
        <v>235</v>
      </c>
      <c r="W11" s="97">
        <v>460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8">
        <v>0</v>
      </c>
      <c r="AD11" s="97">
        <v>0</v>
      </c>
      <c r="AE11" s="97">
        <v>0</v>
      </c>
      <c r="AF11" s="97">
        <v>0</v>
      </c>
      <c r="AG11" s="97">
        <v>1</v>
      </c>
      <c r="AH11" s="97">
        <v>1</v>
      </c>
      <c r="AI11" s="97">
        <v>3</v>
      </c>
      <c r="AJ11" s="97">
        <v>0</v>
      </c>
      <c r="AK11" s="97">
        <v>0</v>
      </c>
      <c r="AL11" s="97">
        <v>0</v>
      </c>
      <c r="AM11" s="97">
        <v>0</v>
      </c>
      <c r="AN11" s="97">
        <v>1</v>
      </c>
      <c r="AO11" s="97">
        <v>0</v>
      </c>
      <c r="AP11" s="97">
        <v>0</v>
      </c>
      <c r="AQ11" s="99">
        <v>0</v>
      </c>
    </row>
    <row r="12" spans="1:44" ht="45" customHeight="1" thickBot="1" thickTop="1">
      <c r="A12" s="93" t="s">
        <v>73</v>
      </c>
      <c r="B12" s="97">
        <v>14</v>
      </c>
      <c r="C12" s="97">
        <v>2</v>
      </c>
      <c r="D12" s="97">
        <v>0</v>
      </c>
      <c r="E12" s="97">
        <v>2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50</v>
      </c>
      <c r="N12" s="97">
        <v>50</v>
      </c>
      <c r="O12" s="97">
        <v>12</v>
      </c>
      <c r="P12" s="97">
        <v>12</v>
      </c>
      <c r="Q12" s="97">
        <v>0</v>
      </c>
      <c r="R12" s="97">
        <v>12</v>
      </c>
      <c r="S12" s="97">
        <v>0</v>
      </c>
      <c r="T12" s="97">
        <v>0</v>
      </c>
      <c r="U12" s="97">
        <v>222</v>
      </c>
      <c r="V12" s="97">
        <v>0</v>
      </c>
      <c r="W12" s="97">
        <v>15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8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9">
        <v>0</v>
      </c>
      <c r="AR12" s="100"/>
    </row>
    <row r="13" spans="1:46" ht="52.5" customHeight="1" thickBot="1" thickTop="1">
      <c r="A13" s="93" t="s">
        <v>74</v>
      </c>
      <c r="B13" s="97">
        <v>6</v>
      </c>
      <c r="C13" s="97">
        <v>1</v>
      </c>
      <c r="D13" s="97">
        <v>1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40</v>
      </c>
      <c r="N13" s="97">
        <v>40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164</v>
      </c>
      <c r="V13" s="97">
        <v>0</v>
      </c>
      <c r="W13" s="97">
        <v>30</v>
      </c>
      <c r="X13" s="97">
        <v>0</v>
      </c>
      <c r="Y13" s="97">
        <v>30</v>
      </c>
      <c r="Z13" s="97">
        <v>0</v>
      </c>
      <c r="AA13" s="97">
        <v>30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9">
        <v>0</v>
      </c>
      <c r="AR13" s="100"/>
      <c r="AS13" s="101"/>
      <c r="AT13" s="101"/>
    </row>
    <row r="14" spans="1:43" ht="39.75" customHeight="1" thickBot="1" thickTop="1">
      <c r="A14" s="93" t="s">
        <v>75</v>
      </c>
      <c r="B14" s="97">
        <v>178</v>
      </c>
      <c r="C14" s="97">
        <v>54</v>
      </c>
      <c r="D14" s="97">
        <v>37</v>
      </c>
      <c r="E14" s="97">
        <v>6</v>
      </c>
      <c r="F14" s="97">
        <v>1</v>
      </c>
      <c r="G14" s="97">
        <v>5</v>
      </c>
      <c r="H14" s="97">
        <v>2</v>
      </c>
      <c r="I14" s="97">
        <v>0</v>
      </c>
      <c r="J14" s="97">
        <v>0</v>
      </c>
      <c r="K14" s="97">
        <v>0</v>
      </c>
      <c r="L14" s="97">
        <v>0</v>
      </c>
      <c r="M14" s="97">
        <f>809+58</f>
        <v>867</v>
      </c>
      <c r="N14" s="97">
        <f>148+18</f>
        <v>166</v>
      </c>
      <c r="O14" s="97">
        <f>128</f>
        <v>128</v>
      </c>
      <c r="P14" s="97">
        <v>5</v>
      </c>
      <c r="Q14" s="97">
        <v>20</v>
      </c>
      <c r="R14" s="97">
        <v>8</v>
      </c>
      <c r="S14" s="97">
        <v>36</v>
      </c>
      <c r="T14" s="97">
        <v>68</v>
      </c>
      <c r="U14" s="97">
        <v>5206</v>
      </c>
      <c r="V14" s="97">
        <v>283</v>
      </c>
      <c r="W14" s="97">
        <v>445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1</v>
      </c>
      <c r="AH14" s="97">
        <v>0</v>
      </c>
      <c r="AI14" s="97">
        <v>10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78</v>
      </c>
      <c r="AP14" s="97">
        <v>76</v>
      </c>
      <c r="AQ14" s="99">
        <v>0</v>
      </c>
    </row>
    <row r="15" spans="1:44" ht="45" customHeight="1" thickBot="1" thickTop="1">
      <c r="A15" s="93" t="s">
        <v>76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9">
        <v>0</v>
      </c>
      <c r="AR15" s="100"/>
    </row>
    <row r="16" spans="1:43" ht="39.75" customHeight="1" thickBot="1" thickTop="1">
      <c r="A16" s="93" t="s">
        <v>77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102">
        <v>0</v>
      </c>
    </row>
    <row r="17" spans="1:79" ht="39.75" customHeight="1" thickBot="1" thickTop="1">
      <c r="A17" s="103" t="s">
        <v>3</v>
      </c>
      <c r="B17" s="104">
        <f aca="true" t="shared" si="0" ref="B17:AQ17">SUM(B9:B16)</f>
        <v>2574</v>
      </c>
      <c r="C17" s="105">
        <f t="shared" si="0"/>
        <v>721</v>
      </c>
      <c r="D17" s="105">
        <f t="shared" si="0"/>
        <v>397</v>
      </c>
      <c r="E17" s="105">
        <f t="shared" si="0"/>
        <v>28</v>
      </c>
      <c r="F17" s="105">
        <f t="shared" si="0"/>
        <v>4</v>
      </c>
      <c r="G17" s="105">
        <f t="shared" si="0"/>
        <v>23</v>
      </c>
      <c r="H17" s="105">
        <f t="shared" si="0"/>
        <v>30</v>
      </c>
      <c r="I17" s="105">
        <f t="shared" si="0"/>
        <v>2</v>
      </c>
      <c r="J17" s="105">
        <f t="shared" si="0"/>
        <v>8</v>
      </c>
      <c r="K17" s="105">
        <f t="shared" si="0"/>
        <v>15</v>
      </c>
      <c r="L17" s="105">
        <f t="shared" si="0"/>
        <v>7</v>
      </c>
      <c r="M17" s="105">
        <f t="shared" si="0"/>
        <v>107731</v>
      </c>
      <c r="N17" s="105">
        <f t="shared" si="0"/>
        <v>13388</v>
      </c>
      <c r="O17" s="105">
        <f t="shared" si="0"/>
        <v>6467</v>
      </c>
      <c r="P17" s="105">
        <f t="shared" si="0"/>
        <v>643</v>
      </c>
      <c r="Q17" s="105">
        <f t="shared" si="0"/>
        <v>2484</v>
      </c>
      <c r="R17" s="105">
        <f t="shared" si="0"/>
        <v>2860</v>
      </c>
      <c r="S17" s="105">
        <f t="shared" si="0"/>
        <v>3407</v>
      </c>
      <c r="T17" s="105">
        <f t="shared" si="0"/>
        <v>617</v>
      </c>
      <c r="U17" s="105">
        <f t="shared" si="0"/>
        <v>13964</v>
      </c>
      <c r="V17" s="105">
        <f t="shared" si="0"/>
        <v>565</v>
      </c>
      <c r="W17" s="105">
        <f t="shared" si="0"/>
        <v>1034</v>
      </c>
      <c r="X17" s="105">
        <f t="shared" si="0"/>
        <v>0</v>
      </c>
      <c r="Y17" s="105">
        <f t="shared" si="0"/>
        <v>30</v>
      </c>
      <c r="Z17" s="105">
        <f t="shared" si="0"/>
        <v>0</v>
      </c>
      <c r="AA17" s="105">
        <f t="shared" si="0"/>
        <v>38</v>
      </c>
      <c r="AB17" s="105">
        <f t="shared" si="0"/>
        <v>0</v>
      </c>
      <c r="AC17" s="105">
        <f t="shared" si="0"/>
        <v>0</v>
      </c>
      <c r="AD17" s="105">
        <f t="shared" si="0"/>
        <v>0</v>
      </c>
      <c r="AE17" s="105">
        <f t="shared" si="0"/>
        <v>0</v>
      </c>
      <c r="AF17" s="105">
        <f t="shared" si="0"/>
        <v>0</v>
      </c>
      <c r="AG17" s="105">
        <f t="shared" si="0"/>
        <v>114</v>
      </c>
      <c r="AH17" s="105">
        <f t="shared" si="0"/>
        <v>13</v>
      </c>
      <c r="AI17" s="105">
        <f t="shared" si="0"/>
        <v>3566</v>
      </c>
      <c r="AJ17" s="105">
        <f t="shared" si="0"/>
        <v>63</v>
      </c>
      <c r="AK17" s="105">
        <f t="shared" si="0"/>
        <v>33</v>
      </c>
      <c r="AL17" s="105">
        <f t="shared" si="0"/>
        <v>19</v>
      </c>
      <c r="AM17" s="105">
        <f t="shared" si="0"/>
        <v>3</v>
      </c>
      <c r="AN17" s="105">
        <f t="shared" si="0"/>
        <v>13</v>
      </c>
      <c r="AO17" s="105">
        <f t="shared" si="0"/>
        <v>143</v>
      </c>
      <c r="AP17" s="105">
        <f t="shared" si="0"/>
        <v>81</v>
      </c>
      <c r="AQ17" s="106">
        <f t="shared" si="0"/>
        <v>0</v>
      </c>
      <c r="AR17" s="96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</row>
    <row r="18" spans="1:79" s="110" customFormat="1" ht="13.5" thickTop="1">
      <c r="A18" s="107"/>
      <c r="B18" s="108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01"/>
      <c r="O18" s="101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  <c r="AI18" s="109"/>
      <c r="AJ18" s="108"/>
      <c r="AK18" s="108"/>
      <c r="AL18" s="109"/>
      <c r="AM18" s="107"/>
      <c r="AN18" s="107"/>
      <c r="AO18" s="107"/>
      <c r="AP18" s="108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</row>
    <row r="19" ht="18">
      <c r="A19" s="111" t="s">
        <v>78</v>
      </c>
    </row>
    <row r="21" ht="15.75">
      <c r="A21" s="112" t="s">
        <v>9</v>
      </c>
    </row>
    <row r="22" spans="1:18" ht="14.25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 t="s">
        <v>14</v>
      </c>
      <c r="L22" s="7"/>
      <c r="M22" s="7"/>
      <c r="N22" s="7"/>
      <c r="O22" s="7"/>
      <c r="P22" s="7"/>
      <c r="Q22" s="7"/>
      <c r="R22" s="7"/>
    </row>
    <row r="23" spans="1:18" ht="14.25">
      <c r="A23" s="7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 t="s">
        <v>12</v>
      </c>
      <c r="L23" s="7"/>
      <c r="M23" s="7"/>
      <c r="N23" s="7"/>
      <c r="O23" s="7"/>
      <c r="P23" s="7"/>
      <c r="Q23" s="7"/>
      <c r="R23" s="7"/>
    </row>
    <row r="24" spans="1:11" ht="14.25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 t="s">
        <v>22</v>
      </c>
    </row>
    <row r="25" spans="1:18" ht="14.25">
      <c r="A25" s="7" t="s">
        <v>21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20</v>
      </c>
      <c r="L25" s="7"/>
      <c r="M25" s="7"/>
      <c r="N25" s="7"/>
      <c r="O25" s="7"/>
      <c r="P25" s="7"/>
      <c r="Q25" s="7"/>
      <c r="R25" s="7"/>
    </row>
  </sheetData>
  <mergeCells count="14">
    <mergeCell ref="A2:AQ2"/>
    <mergeCell ref="AC7:AF7"/>
    <mergeCell ref="AG7:AN7"/>
    <mergeCell ref="AO7:AQ7"/>
    <mergeCell ref="A3:AQ3"/>
    <mergeCell ref="H7:L7"/>
    <mergeCell ref="X7:AB7"/>
    <mergeCell ref="A7:A8"/>
    <mergeCell ref="U7:W7"/>
    <mergeCell ref="M7:T7"/>
    <mergeCell ref="B7:B8"/>
    <mergeCell ref="C7:C8"/>
    <mergeCell ref="E7:G7"/>
    <mergeCell ref="D7:D8"/>
  </mergeCells>
  <printOptions horizontalCentered="1"/>
  <pageMargins left="0" right="0" top="0.5905511811023623" bottom="0.5905511811023623" header="0.5118110236220472" footer="0.5118110236220472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7"/>
  <sheetViews>
    <sheetView zoomScale="75" zoomScaleNormal="75" workbookViewId="0" topLeftCell="A1">
      <selection activeCell="A7" sqref="A7:IV7"/>
    </sheetView>
  </sheetViews>
  <sheetFormatPr defaultColWidth="9.00390625" defaultRowHeight="12.75"/>
  <cols>
    <col min="2" max="2" width="17.625" style="0" bestFit="1" customWidth="1"/>
    <col min="3" max="3" width="6.25390625" style="0" customWidth="1"/>
    <col min="4" max="5" width="6.125" style="0" customWidth="1"/>
    <col min="6" max="7" width="4.875" style="0" customWidth="1"/>
    <col min="8" max="8" width="7.00390625" style="0" customWidth="1"/>
    <col min="9" max="9" width="5.125" style="0" customWidth="1"/>
    <col min="10" max="10" width="5.625" style="0" customWidth="1"/>
    <col min="11" max="11" width="5.75390625" style="0" customWidth="1"/>
    <col min="12" max="13" width="5.375" style="0" customWidth="1"/>
    <col min="14" max="14" width="8.75390625" style="0" customWidth="1"/>
    <col min="15" max="15" width="7.25390625" style="0" customWidth="1"/>
    <col min="16" max="16" width="8.125" style="0" customWidth="1"/>
    <col min="17" max="17" width="5.625" style="0" customWidth="1"/>
    <col min="18" max="18" width="5.75390625" style="0" customWidth="1"/>
    <col min="19" max="19" width="5.625" style="0" customWidth="1"/>
    <col min="20" max="20" width="6.25390625" style="0" customWidth="1"/>
    <col min="21" max="21" width="5.875" style="0" bestFit="1" customWidth="1"/>
    <col min="22" max="22" width="6.625" style="0" customWidth="1"/>
    <col min="23" max="23" width="6.00390625" style="0" customWidth="1"/>
    <col min="24" max="24" width="6.625" style="0" customWidth="1"/>
    <col min="25" max="27" width="5.75390625" style="0" customWidth="1"/>
    <col min="28" max="29" width="4.375" style="0" customWidth="1"/>
    <col min="30" max="30" width="5.75390625" style="0" customWidth="1"/>
    <col min="31" max="31" width="5.25390625" style="0" customWidth="1"/>
    <col min="32" max="32" width="5.75390625" style="0" customWidth="1"/>
    <col min="33" max="33" width="4.75390625" style="0" customWidth="1"/>
    <col min="34" max="34" width="5.625" style="0" customWidth="1"/>
    <col min="35" max="35" width="5.25390625" style="0" customWidth="1"/>
    <col min="36" max="36" width="6.875" style="0" customWidth="1"/>
    <col min="37" max="37" width="5.625" style="0" customWidth="1"/>
    <col min="38" max="38" width="4.75390625" style="0" customWidth="1"/>
    <col min="39" max="39" width="5.125" style="0" customWidth="1"/>
    <col min="40" max="40" width="5.00390625" style="0" customWidth="1"/>
    <col min="41" max="41" width="5.625" style="0" customWidth="1"/>
    <col min="42" max="42" width="5.125" style="0" customWidth="1"/>
    <col min="43" max="43" width="5.00390625" style="0" customWidth="1"/>
    <col min="44" max="44" width="5.75390625" style="0" customWidth="1"/>
  </cols>
  <sheetData>
    <row r="3" spans="1:44" ht="20.25">
      <c r="A3" s="80" t="s">
        <v>79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44" ht="18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3:44" ht="12.75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9:27" ht="12.75">
      <c r="S6" s="4"/>
      <c r="T6" s="4"/>
      <c r="U6" s="4"/>
      <c r="V6" s="4"/>
      <c r="W6" s="4"/>
      <c r="X6" s="4"/>
      <c r="Y6" s="4"/>
      <c r="Z6" s="4"/>
      <c r="AA6" s="4"/>
    </row>
    <row r="7" spans="6:44" ht="14.25" customHeight="1" thickBot="1"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24" customHeight="1" thickBot="1" thickTop="1">
      <c r="A8" s="114"/>
      <c r="B8" s="115"/>
      <c r="C8" s="90" t="s">
        <v>1</v>
      </c>
      <c r="D8" s="70" t="s">
        <v>2</v>
      </c>
      <c r="E8" s="70" t="s">
        <v>61</v>
      </c>
      <c r="F8" s="77" t="s">
        <v>23</v>
      </c>
      <c r="G8" s="78"/>
      <c r="H8" s="79"/>
      <c r="I8" s="83" t="s">
        <v>5</v>
      </c>
      <c r="J8" s="77"/>
      <c r="K8" s="77"/>
      <c r="L8" s="77"/>
      <c r="M8" s="84"/>
      <c r="N8" s="72" t="s">
        <v>58</v>
      </c>
      <c r="O8" s="73"/>
      <c r="P8" s="73"/>
      <c r="Q8" s="73"/>
      <c r="R8" s="73"/>
      <c r="S8" s="73"/>
      <c r="T8" s="73"/>
      <c r="U8" s="74"/>
      <c r="V8" s="75" t="s">
        <v>6</v>
      </c>
      <c r="W8" s="76"/>
      <c r="X8" s="76"/>
      <c r="Y8" s="86" t="s">
        <v>60</v>
      </c>
      <c r="Z8" s="86"/>
      <c r="AA8" s="86"/>
      <c r="AB8" s="86"/>
      <c r="AC8" s="86"/>
      <c r="AD8" s="86" t="s">
        <v>7</v>
      </c>
      <c r="AE8" s="86"/>
      <c r="AF8" s="86"/>
      <c r="AG8" s="75"/>
      <c r="AH8" s="75" t="s">
        <v>65</v>
      </c>
      <c r="AI8" s="76"/>
      <c r="AJ8" s="76"/>
      <c r="AK8" s="76"/>
      <c r="AL8" s="76"/>
      <c r="AM8" s="76"/>
      <c r="AN8" s="76"/>
      <c r="AO8" s="85"/>
      <c r="AP8" s="85" t="s">
        <v>8</v>
      </c>
      <c r="AQ8" s="86"/>
      <c r="AR8" s="86"/>
    </row>
    <row r="9" spans="1:44" ht="129" customHeight="1" thickBot="1" thickTop="1">
      <c r="A9" s="116"/>
      <c r="B9" s="117"/>
      <c r="C9" s="92"/>
      <c r="D9" s="71"/>
      <c r="E9" s="71"/>
      <c r="F9" s="9" t="s">
        <v>81</v>
      </c>
      <c r="G9" s="9" t="s">
        <v>82</v>
      </c>
      <c r="H9" s="9" t="s">
        <v>83</v>
      </c>
      <c r="I9" s="1" t="s">
        <v>84</v>
      </c>
      <c r="J9" s="1" t="s">
        <v>15</v>
      </c>
      <c r="K9" s="1" t="s">
        <v>16</v>
      </c>
      <c r="L9" s="1" t="s">
        <v>4</v>
      </c>
      <c r="M9" s="9" t="s">
        <v>17</v>
      </c>
      <c r="N9" s="45" t="s">
        <v>35</v>
      </c>
      <c r="O9" s="1" t="s">
        <v>36</v>
      </c>
      <c r="P9" s="1" t="s">
        <v>57</v>
      </c>
      <c r="Q9" s="1" t="s">
        <v>36</v>
      </c>
      <c r="R9" s="1" t="s">
        <v>37</v>
      </c>
      <c r="S9" s="1" t="s">
        <v>18</v>
      </c>
      <c r="T9" s="1" t="s">
        <v>38</v>
      </c>
      <c r="U9" s="2" t="s">
        <v>19</v>
      </c>
      <c r="V9" s="3" t="s">
        <v>39</v>
      </c>
      <c r="W9" s="3" t="s">
        <v>40</v>
      </c>
      <c r="X9" s="3" t="s">
        <v>41</v>
      </c>
      <c r="Y9" s="41" t="s">
        <v>42</v>
      </c>
      <c r="Z9" s="3" t="s">
        <v>43</v>
      </c>
      <c r="AA9" s="3" t="s">
        <v>44</v>
      </c>
      <c r="AB9" s="3" t="s">
        <v>45</v>
      </c>
      <c r="AC9" s="47" t="s">
        <v>46</v>
      </c>
      <c r="AD9" s="46" t="s">
        <v>47</v>
      </c>
      <c r="AE9" s="3" t="s">
        <v>48</v>
      </c>
      <c r="AF9" s="3" t="s">
        <v>49</v>
      </c>
      <c r="AG9" s="51" t="s">
        <v>50</v>
      </c>
      <c r="AH9" s="5" t="s">
        <v>62</v>
      </c>
      <c r="AI9" s="3" t="s">
        <v>63</v>
      </c>
      <c r="AJ9" s="3" t="s">
        <v>51</v>
      </c>
      <c r="AK9" s="3" t="s">
        <v>37</v>
      </c>
      <c r="AL9" s="3" t="s">
        <v>52</v>
      </c>
      <c r="AM9" s="3" t="s">
        <v>38</v>
      </c>
      <c r="AN9" s="3" t="s">
        <v>53</v>
      </c>
      <c r="AO9" s="3" t="s">
        <v>64</v>
      </c>
      <c r="AP9" s="52" t="s">
        <v>54</v>
      </c>
      <c r="AQ9" s="6" t="s">
        <v>55</v>
      </c>
      <c r="AR9" s="6" t="s">
        <v>56</v>
      </c>
    </row>
    <row r="10" spans="1:44" ht="41.25" customHeight="1" thickBot="1" thickTop="1">
      <c r="A10" s="118" t="s">
        <v>85</v>
      </c>
      <c r="B10" s="119" t="s">
        <v>86</v>
      </c>
      <c r="C10" s="120">
        <v>124</v>
      </c>
      <c r="D10" s="94">
        <v>27</v>
      </c>
      <c r="E10" s="94">
        <v>14</v>
      </c>
      <c r="F10" s="94">
        <v>0</v>
      </c>
      <c r="G10" s="94">
        <v>0</v>
      </c>
      <c r="H10" s="94">
        <v>0</v>
      </c>
      <c r="I10" s="94">
        <v>0</v>
      </c>
      <c r="J10" s="94">
        <v>1</v>
      </c>
      <c r="K10" s="94">
        <v>2</v>
      </c>
      <c r="L10" s="94">
        <v>1</v>
      </c>
      <c r="M10" s="94">
        <v>0</v>
      </c>
      <c r="N10" s="121">
        <f>3345+5054</f>
        <v>8399</v>
      </c>
      <c r="O10" s="94">
        <f>85+398</f>
        <v>483</v>
      </c>
      <c r="P10" s="94">
        <f>16+92</f>
        <v>108</v>
      </c>
      <c r="Q10" s="94">
        <v>0</v>
      </c>
      <c r="R10" s="94">
        <v>28</v>
      </c>
      <c r="S10" s="94">
        <v>54</v>
      </c>
      <c r="T10" s="94">
        <f>19+57</f>
        <v>76</v>
      </c>
      <c r="U10" s="94">
        <v>36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74</v>
      </c>
      <c r="AI10" s="94">
        <v>6</v>
      </c>
      <c r="AJ10" s="94">
        <v>2546</v>
      </c>
      <c r="AK10" s="94">
        <v>58</v>
      </c>
      <c r="AL10" s="94">
        <v>18</v>
      </c>
      <c r="AM10" s="94">
        <v>0</v>
      </c>
      <c r="AN10" s="94">
        <v>2</v>
      </c>
      <c r="AO10" s="94">
        <v>0</v>
      </c>
      <c r="AP10" s="122">
        <v>15</v>
      </c>
      <c r="AQ10" s="94">
        <v>0</v>
      </c>
      <c r="AR10" s="123">
        <v>0</v>
      </c>
    </row>
    <row r="11" spans="1:44" s="34" customFormat="1" ht="41.25" customHeight="1" thickBot="1" thickTop="1">
      <c r="A11" s="124"/>
      <c r="B11" s="119" t="s">
        <v>87</v>
      </c>
      <c r="C11" s="125">
        <v>1368</v>
      </c>
      <c r="D11" s="126">
        <v>414</v>
      </c>
      <c r="E11" s="126">
        <v>218</v>
      </c>
      <c r="F11" s="126">
        <v>13</v>
      </c>
      <c r="G11" s="126">
        <v>3</v>
      </c>
      <c r="H11" s="126">
        <v>14</v>
      </c>
      <c r="I11" s="126">
        <v>18</v>
      </c>
      <c r="J11" s="126">
        <v>1</v>
      </c>
      <c r="K11" s="126">
        <v>4</v>
      </c>
      <c r="L11" s="126">
        <v>8</v>
      </c>
      <c r="M11" s="126">
        <v>2</v>
      </c>
      <c r="N11" s="126">
        <f>44268+18340+90</f>
        <v>62698</v>
      </c>
      <c r="O11" s="126">
        <f>2764+4545</f>
        <v>7309</v>
      </c>
      <c r="P11" s="126">
        <f>2364+1154</f>
        <v>3518</v>
      </c>
      <c r="Q11" s="126">
        <v>306</v>
      </c>
      <c r="R11" s="126">
        <f>584+150</f>
        <v>734</v>
      </c>
      <c r="S11" s="126">
        <f>1591+388</f>
        <v>1979</v>
      </c>
      <c r="T11" s="126">
        <f>1510+1141</f>
        <v>2651</v>
      </c>
      <c r="U11" s="126">
        <f>292+120</f>
        <v>412</v>
      </c>
      <c r="V11" s="126">
        <f>544+18</f>
        <v>562</v>
      </c>
      <c r="W11" s="126">
        <f>45+18</f>
        <v>63</v>
      </c>
      <c r="X11" s="126">
        <v>23</v>
      </c>
      <c r="Y11" s="126">
        <v>0</v>
      </c>
      <c r="Z11" s="126">
        <v>0</v>
      </c>
      <c r="AA11" s="126">
        <v>0</v>
      </c>
      <c r="AB11" s="126">
        <v>8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17</v>
      </c>
      <c r="AI11" s="126">
        <v>2</v>
      </c>
      <c r="AJ11" s="126">
        <v>524</v>
      </c>
      <c r="AK11" s="126">
        <v>0</v>
      </c>
      <c r="AL11" s="126">
        <v>13</v>
      </c>
      <c r="AM11" s="126">
        <v>11</v>
      </c>
      <c r="AN11" s="126">
        <v>0</v>
      </c>
      <c r="AO11" s="126">
        <v>11</v>
      </c>
      <c r="AP11" s="126">
        <v>17</v>
      </c>
      <c r="AQ11" s="126">
        <v>0</v>
      </c>
      <c r="AR11" s="127">
        <v>0</v>
      </c>
    </row>
    <row r="12" spans="1:44" ht="44.25" customHeight="1" thickBot="1" thickTop="1">
      <c r="A12" s="124"/>
      <c r="B12" s="119" t="s">
        <v>88</v>
      </c>
      <c r="C12" s="128">
        <v>605</v>
      </c>
      <c r="D12" s="97">
        <v>164</v>
      </c>
      <c r="E12" s="97">
        <v>87</v>
      </c>
      <c r="F12" s="97">
        <v>4</v>
      </c>
      <c r="G12" s="97">
        <v>0</v>
      </c>
      <c r="H12" s="97">
        <v>2</v>
      </c>
      <c r="I12" s="97">
        <v>7</v>
      </c>
      <c r="J12" s="97">
        <v>0</v>
      </c>
      <c r="K12" s="97">
        <v>1</v>
      </c>
      <c r="L12" s="97">
        <v>5</v>
      </c>
      <c r="M12" s="97">
        <v>5</v>
      </c>
      <c r="N12" s="129">
        <f>23892+8272</f>
        <v>32164</v>
      </c>
      <c r="O12" s="97">
        <f>1011+2315</f>
        <v>3326</v>
      </c>
      <c r="P12" s="97">
        <f>1997+525</f>
        <v>2522</v>
      </c>
      <c r="Q12" s="97">
        <f>48+188</f>
        <v>236</v>
      </c>
      <c r="R12" s="97">
        <f>1515+96</f>
        <v>1611</v>
      </c>
      <c r="S12" s="97">
        <f>524+179</f>
        <v>703</v>
      </c>
      <c r="T12" s="97">
        <f>357+277</f>
        <v>634</v>
      </c>
      <c r="U12" s="97">
        <f>33+82</f>
        <v>115</v>
      </c>
      <c r="V12" s="97">
        <v>139</v>
      </c>
      <c r="W12" s="97">
        <v>0</v>
      </c>
      <c r="X12" s="97">
        <v>2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23</v>
      </c>
      <c r="AI12" s="97">
        <v>5</v>
      </c>
      <c r="AJ12" s="97">
        <v>493</v>
      </c>
      <c r="AK12" s="97">
        <v>5</v>
      </c>
      <c r="AL12" s="97">
        <v>2</v>
      </c>
      <c r="AM12" s="97">
        <v>8</v>
      </c>
      <c r="AN12" s="97">
        <v>1</v>
      </c>
      <c r="AO12" s="97">
        <v>2</v>
      </c>
      <c r="AP12" s="97">
        <v>33</v>
      </c>
      <c r="AQ12" s="97">
        <v>5</v>
      </c>
      <c r="AR12" s="99">
        <v>0</v>
      </c>
    </row>
    <row r="13" spans="1:45" ht="36.75" customHeight="1" thickBot="1" thickTop="1">
      <c r="A13" s="124"/>
      <c r="B13" s="119" t="s">
        <v>89</v>
      </c>
      <c r="C13" s="128">
        <v>34</v>
      </c>
      <c r="D13" s="97">
        <v>10</v>
      </c>
      <c r="E13" s="97">
        <v>10</v>
      </c>
      <c r="F13" s="97">
        <v>4</v>
      </c>
      <c r="G13" s="97">
        <v>0</v>
      </c>
      <c r="H13" s="97">
        <v>1</v>
      </c>
      <c r="I13" s="97">
        <v>1</v>
      </c>
      <c r="J13" s="97">
        <v>0</v>
      </c>
      <c r="K13" s="97">
        <v>0</v>
      </c>
      <c r="L13" s="97">
        <v>1</v>
      </c>
      <c r="M13" s="97">
        <v>0</v>
      </c>
      <c r="N13" s="97">
        <f>534+370</f>
        <v>904</v>
      </c>
      <c r="O13" s="97">
        <f>72+194</f>
        <v>266</v>
      </c>
      <c r="P13" s="97">
        <f>12+49</f>
        <v>61</v>
      </c>
      <c r="Q13" s="97">
        <v>23</v>
      </c>
      <c r="R13" s="97">
        <f>12+19</f>
        <v>31</v>
      </c>
      <c r="S13" s="97">
        <v>29</v>
      </c>
      <c r="T13" s="97">
        <v>0</v>
      </c>
      <c r="U13" s="97">
        <v>12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9">
        <v>0</v>
      </c>
      <c r="AS13" s="100"/>
    </row>
    <row r="14" spans="1:44" ht="33.75" customHeight="1" thickBot="1" thickTop="1">
      <c r="A14" s="124"/>
      <c r="B14" s="119" t="s">
        <v>90</v>
      </c>
      <c r="C14" s="12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9">
        <v>0</v>
      </c>
    </row>
    <row r="15" spans="1:44" ht="37.5" customHeight="1" thickBot="1" thickTop="1">
      <c r="A15" s="124"/>
      <c r="B15" s="119" t="s">
        <v>91</v>
      </c>
      <c r="C15" s="128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9">
        <v>0</v>
      </c>
    </row>
    <row r="16" spans="1:44" ht="35.25" customHeight="1" thickBot="1" thickTop="1">
      <c r="A16" s="130"/>
      <c r="B16" s="119" t="s">
        <v>92</v>
      </c>
      <c r="C16" s="128">
        <v>1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80</v>
      </c>
      <c r="O16" s="97">
        <v>80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9">
        <v>0</v>
      </c>
    </row>
    <row r="17" spans="1:44" ht="37.5" customHeight="1" thickBot="1" thickTop="1">
      <c r="A17" s="131" t="s">
        <v>75</v>
      </c>
      <c r="B17" s="132" t="s">
        <v>87</v>
      </c>
      <c r="C17" s="128">
        <v>327</v>
      </c>
      <c r="D17" s="97">
        <v>83</v>
      </c>
      <c r="E17" s="97">
        <v>58</v>
      </c>
      <c r="F17" s="97">
        <v>5</v>
      </c>
      <c r="G17" s="97">
        <v>0</v>
      </c>
      <c r="H17" s="97">
        <v>5</v>
      </c>
      <c r="I17" s="97">
        <v>4</v>
      </c>
      <c r="J17" s="97">
        <v>0</v>
      </c>
      <c r="K17" s="97">
        <v>0</v>
      </c>
      <c r="L17" s="97">
        <v>0</v>
      </c>
      <c r="M17" s="97">
        <v>0</v>
      </c>
      <c r="N17" s="97">
        <f>688+1511</f>
        <v>2199</v>
      </c>
      <c r="O17" s="97">
        <f>197+796</f>
        <v>993</v>
      </c>
      <c r="P17" s="97">
        <v>161</v>
      </c>
      <c r="Q17" s="97">
        <v>11</v>
      </c>
      <c r="R17" s="97">
        <v>7</v>
      </c>
      <c r="S17" s="97">
        <f>16+57</f>
        <v>73</v>
      </c>
      <c r="T17" s="97">
        <v>44</v>
      </c>
      <c r="U17" s="97">
        <v>42</v>
      </c>
      <c r="V17" s="97">
        <v>9614</v>
      </c>
      <c r="W17" s="97">
        <v>479</v>
      </c>
      <c r="X17" s="97">
        <v>639</v>
      </c>
      <c r="Y17" s="97">
        <v>0</v>
      </c>
      <c r="Z17" s="97">
        <v>30</v>
      </c>
      <c r="AA17" s="97">
        <v>0</v>
      </c>
      <c r="AB17" s="97">
        <v>30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3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9">
        <v>0</v>
      </c>
    </row>
    <row r="18" spans="1:44" ht="44.25" customHeight="1" thickBot="1" thickTop="1">
      <c r="A18" s="133"/>
      <c r="B18" s="132" t="s">
        <v>88</v>
      </c>
      <c r="C18" s="128">
        <v>115</v>
      </c>
      <c r="D18" s="97">
        <v>23</v>
      </c>
      <c r="E18" s="97">
        <v>10</v>
      </c>
      <c r="F18" s="97">
        <v>2</v>
      </c>
      <c r="G18" s="97">
        <v>1</v>
      </c>
      <c r="H18" s="97">
        <v>1</v>
      </c>
      <c r="I18" s="97">
        <v>0</v>
      </c>
      <c r="J18" s="97">
        <v>0</v>
      </c>
      <c r="K18" s="97">
        <v>1</v>
      </c>
      <c r="L18" s="97">
        <v>0</v>
      </c>
      <c r="M18" s="97">
        <v>0</v>
      </c>
      <c r="N18" s="97">
        <f>154+1133</f>
        <v>1287</v>
      </c>
      <c r="O18" s="97">
        <f>931</f>
        <v>931</v>
      </c>
      <c r="P18" s="97">
        <f>26+71</f>
        <v>97</v>
      </c>
      <c r="Q18" s="97">
        <v>67</v>
      </c>
      <c r="R18" s="97">
        <v>73</v>
      </c>
      <c r="S18" s="97">
        <v>22</v>
      </c>
      <c r="T18" s="97">
        <v>2</v>
      </c>
      <c r="U18" s="97">
        <v>0</v>
      </c>
      <c r="V18" s="97">
        <v>3649</v>
      </c>
      <c r="W18" s="97">
        <v>23</v>
      </c>
      <c r="X18" s="97">
        <v>370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78</v>
      </c>
      <c r="AQ18" s="97">
        <v>76</v>
      </c>
      <c r="AR18" s="99">
        <v>0</v>
      </c>
    </row>
    <row r="19" spans="1:44" ht="53.25" customHeight="1" thickBot="1" thickTop="1">
      <c r="A19" s="134" t="s">
        <v>93</v>
      </c>
      <c r="B19" s="135" t="s">
        <v>94</v>
      </c>
      <c r="C19" s="128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9">
        <v>0</v>
      </c>
    </row>
    <row r="20" spans="1:44" ht="70.5" customHeight="1" thickBot="1" thickTop="1">
      <c r="A20" s="136"/>
      <c r="B20" s="137" t="s">
        <v>95</v>
      </c>
      <c r="C20" s="138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139">
        <v>0</v>
      </c>
    </row>
    <row r="21" spans="2:44" ht="49.5" customHeight="1" thickBot="1" thickTop="1">
      <c r="B21" s="140" t="s">
        <v>96</v>
      </c>
      <c r="C21" s="141">
        <f aca="true" t="shared" si="0" ref="C21:AR21">SUM(C10:C20)</f>
        <v>2574</v>
      </c>
      <c r="D21" s="142">
        <f t="shared" si="0"/>
        <v>721</v>
      </c>
      <c r="E21" s="142">
        <f t="shared" si="0"/>
        <v>397</v>
      </c>
      <c r="F21" s="142">
        <f t="shared" si="0"/>
        <v>28</v>
      </c>
      <c r="G21" s="142">
        <f t="shared" si="0"/>
        <v>4</v>
      </c>
      <c r="H21" s="142">
        <f t="shared" si="0"/>
        <v>23</v>
      </c>
      <c r="I21" s="142">
        <f t="shared" si="0"/>
        <v>30</v>
      </c>
      <c r="J21" s="142">
        <f t="shared" si="0"/>
        <v>2</v>
      </c>
      <c r="K21" s="142">
        <f t="shared" si="0"/>
        <v>8</v>
      </c>
      <c r="L21" s="142">
        <f t="shared" si="0"/>
        <v>15</v>
      </c>
      <c r="M21" s="142">
        <f t="shared" si="0"/>
        <v>7</v>
      </c>
      <c r="N21" s="142">
        <f t="shared" si="0"/>
        <v>107731</v>
      </c>
      <c r="O21" s="142">
        <f t="shared" si="0"/>
        <v>13388</v>
      </c>
      <c r="P21" s="142">
        <f t="shared" si="0"/>
        <v>6467</v>
      </c>
      <c r="Q21" s="142">
        <f t="shared" si="0"/>
        <v>643</v>
      </c>
      <c r="R21" s="142">
        <f t="shared" si="0"/>
        <v>2484</v>
      </c>
      <c r="S21" s="142">
        <f t="shared" si="0"/>
        <v>2860</v>
      </c>
      <c r="T21" s="142">
        <f t="shared" si="0"/>
        <v>3407</v>
      </c>
      <c r="U21" s="142">
        <f t="shared" si="0"/>
        <v>617</v>
      </c>
      <c r="V21" s="142">
        <f t="shared" si="0"/>
        <v>13964</v>
      </c>
      <c r="W21" s="142">
        <f t="shared" si="0"/>
        <v>565</v>
      </c>
      <c r="X21" s="142">
        <f t="shared" si="0"/>
        <v>1034</v>
      </c>
      <c r="Y21" s="142">
        <f t="shared" si="0"/>
        <v>0</v>
      </c>
      <c r="Z21" s="142">
        <f t="shared" si="0"/>
        <v>30</v>
      </c>
      <c r="AA21" s="142">
        <f t="shared" si="0"/>
        <v>0</v>
      </c>
      <c r="AB21" s="142">
        <f t="shared" si="0"/>
        <v>38</v>
      </c>
      <c r="AC21" s="142">
        <f t="shared" si="0"/>
        <v>0</v>
      </c>
      <c r="AD21" s="142">
        <f t="shared" si="0"/>
        <v>0</v>
      </c>
      <c r="AE21" s="142">
        <f t="shared" si="0"/>
        <v>0</v>
      </c>
      <c r="AF21" s="142">
        <f t="shared" si="0"/>
        <v>0</v>
      </c>
      <c r="AG21" s="142">
        <f t="shared" si="0"/>
        <v>0</v>
      </c>
      <c r="AH21" s="142">
        <f t="shared" si="0"/>
        <v>114</v>
      </c>
      <c r="AI21" s="142">
        <f t="shared" si="0"/>
        <v>13</v>
      </c>
      <c r="AJ21" s="142">
        <f t="shared" si="0"/>
        <v>3566</v>
      </c>
      <c r="AK21" s="142">
        <f t="shared" si="0"/>
        <v>63</v>
      </c>
      <c r="AL21" s="142">
        <f t="shared" si="0"/>
        <v>33</v>
      </c>
      <c r="AM21" s="142">
        <f t="shared" si="0"/>
        <v>19</v>
      </c>
      <c r="AN21" s="142">
        <f t="shared" si="0"/>
        <v>3</v>
      </c>
      <c r="AO21" s="142">
        <f t="shared" si="0"/>
        <v>13</v>
      </c>
      <c r="AP21" s="142">
        <f t="shared" si="0"/>
        <v>143</v>
      </c>
      <c r="AQ21" s="142">
        <f t="shared" si="0"/>
        <v>81</v>
      </c>
      <c r="AR21" s="143">
        <f t="shared" si="0"/>
        <v>0</v>
      </c>
    </row>
    <row r="22" spans="17:43" ht="13.5" thickTop="1">
      <c r="Q22" t="s">
        <v>97</v>
      </c>
      <c r="AH22" s="108"/>
      <c r="AI22" s="108"/>
      <c r="AK22" s="108"/>
      <c r="AQ22" s="108"/>
    </row>
    <row r="23" ht="15.75">
      <c r="C23" s="112" t="s">
        <v>9</v>
      </c>
    </row>
    <row r="24" spans="3:45" ht="14.25">
      <c r="C24" s="7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 t="s">
        <v>14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3:45" ht="14.25">
      <c r="C25" s="7" t="s">
        <v>10</v>
      </c>
      <c r="D25" s="7"/>
      <c r="E25" s="7"/>
      <c r="F25" s="7"/>
      <c r="G25" s="7"/>
      <c r="H25" s="7"/>
      <c r="I25" s="7"/>
      <c r="J25" s="7"/>
      <c r="K25" s="7"/>
      <c r="L25" s="7"/>
      <c r="M25" s="7" t="s">
        <v>12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3:45" ht="14.25">
      <c r="C26" s="7" t="s">
        <v>13</v>
      </c>
      <c r="D26" s="7"/>
      <c r="E26" s="7"/>
      <c r="F26" s="7"/>
      <c r="G26" s="7"/>
      <c r="H26" s="7"/>
      <c r="I26" s="7"/>
      <c r="J26" s="7"/>
      <c r="K26" s="7"/>
      <c r="L26" s="7"/>
      <c r="M26" s="7" t="s">
        <v>22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3:45" ht="14.25">
      <c r="C27" s="7" t="s">
        <v>21</v>
      </c>
      <c r="D27" s="7"/>
      <c r="E27" s="7"/>
      <c r="F27" s="7"/>
      <c r="G27" s="7"/>
      <c r="H27" s="7"/>
      <c r="I27" s="7"/>
      <c r="J27" s="7"/>
      <c r="K27" s="7"/>
      <c r="L27" s="7"/>
      <c r="M27" s="7" t="s">
        <v>20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</sheetData>
  <mergeCells count="17">
    <mergeCell ref="A3:AR3"/>
    <mergeCell ref="AD8:AG8"/>
    <mergeCell ref="F8:H8"/>
    <mergeCell ref="I8:M8"/>
    <mergeCell ref="AP8:AR8"/>
    <mergeCell ref="C8:C9"/>
    <mergeCell ref="A4:AR4"/>
    <mergeCell ref="D8:D9"/>
    <mergeCell ref="AH8:AO8"/>
    <mergeCell ref="Y8:AC8"/>
    <mergeCell ref="N8:U8"/>
    <mergeCell ref="V8:X8"/>
    <mergeCell ref="A19:A20"/>
    <mergeCell ref="A10:A16"/>
    <mergeCell ref="A17:A18"/>
    <mergeCell ref="A8:B9"/>
    <mergeCell ref="E8:E9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2008-12-16T13:52:23Z</cp:lastPrinted>
  <dcterms:created xsi:type="dcterms:W3CDTF">1997-01-24T11:07:25Z</dcterms:created>
  <dcterms:modified xsi:type="dcterms:W3CDTF">2008-12-17T07:40:31Z</dcterms:modified>
  <cp:category/>
  <cp:version/>
  <cp:contentType/>
  <cp:contentStatus/>
</cp:coreProperties>
</file>