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tabuľka podľa subjektov" sheetId="3" r:id="rId3"/>
  </sheets>
  <definedNames/>
  <calcPr fullCalcOnLoad="1"/>
</workbook>
</file>

<file path=xl/sharedStrings.xml><?xml version="1.0" encoding="utf-8"?>
<sst xmlns="http://schemas.openxmlformats.org/spreadsheetml/2006/main" count="224" uniqueCount="120">
  <si>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</si>
  <si>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</si>
  <si>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</si>
  <si>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</si>
  <si>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</si>
  <si>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</si>
  <si>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</si>
  <si>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</si>
  <si>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</si>
  <si>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</si>
  <si>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</si>
  <si>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</si>
  <si>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</si>
  <si>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</si>
  <si>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</si>
  <si>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</si>
  <si>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</si>
  <si>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</si>
  <si>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</si>
  <si>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</si>
  <si>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</si>
  <si>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</si>
  <si>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</si>
  <si>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</si>
  <si>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</si>
  <si>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</si>
  <si>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</si>
  <si>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</si>
  <si>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</si>
  <si>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</si>
  <si>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</si>
  <si>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</si>
  <si>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Počet výrobkov s nedostatkami v DZ</t>
  </si>
  <si>
    <t>VÝSLEDKY KONTROL PRI PRECHODE NA EURO  - PODĽA KRAJOV</t>
  </si>
  <si>
    <t>Predaj cez katalóg</t>
  </si>
  <si>
    <t>Nedostatky odstránené na mieste</t>
  </si>
  <si>
    <t>Kontrola reklamných letákov</t>
  </si>
  <si>
    <t>Ceny na výrobkoch</t>
  </si>
  <si>
    <t>nezverejnený</t>
  </si>
  <si>
    <t>zverejnený nevhodne</t>
  </si>
  <si>
    <t>nesprávny KK</t>
  </si>
  <si>
    <t>Nevydaný (vôbec)</t>
  </si>
  <si>
    <t>počet kontrolovaných druhov výrobkov</t>
  </si>
  <si>
    <t>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</si>
  <si>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</si>
  <si>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</si>
  <si>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</si>
  <si>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</si>
  <si>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</si>
  <si>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</si>
  <si>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</t>
  </si>
  <si>
    <t>počet chýbajúcich cien v KT</t>
  </si>
  <si>
    <t xml:space="preserve">nesprávny prepočet </t>
  </si>
  <si>
    <t>chýba KK v KT</t>
  </si>
  <si>
    <t xml:space="preserve">ceny neuvedené duálne </t>
  </si>
  <si>
    <t>ceny nesprávne prepočítané</t>
  </si>
  <si>
    <t>chýbajúci KK</t>
  </si>
  <si>
    <t>počet kontrolov. reklamných letákov</t>
  </si>
  <si>
    <t>počet reklam. letákov s nedostatkami</t>
  </si>
  <si>
    <t>počet kontrolovaných produktov v reklame</t>
  </si>
  <si>
    <t>nesprávny prepočet u PC</t>
  </si>
  <si>
    <t>nesprávny prepočet u JC</t>
  </si>
  <si>
    <t>počet reklam. letákov bez KK</t>
  </si>
  <si>
    <t>počet zvýšených cien</t>
  </si>
  <si>
    <t>podozrenie na neodôvodnené zvýšenie</t>
  </si>
  <si>
    <t>obdobie od 01. 12. 2008 - 31. 12. 2008 - povinné duálne zobrazovanie cien</t>
  </si>
  <si>
    <t>VÝSLEDKY KONTROL PRI PRECHODE NA EURO - PODĽA SORTIMENTU</t>
  </si>
  <si>
    <t xml:space="preserve">obdobie od 01.12.2008 do 31.12.2008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</si>
  <si>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</si>
  <si>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</si>
  <si>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</si>
  <si>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</si>
  <si>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</si>
  <si>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</si>
  <si>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</si>
  <si>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</si>
  <si>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</si>
  <si>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</si>
  <si>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</si>
  <si>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 xml:space="preserve">obdobie  01.12.2008 - 31.12.2008 </t>
  </si>
  <si>
    <t>Predaj výrobkov</t>
  </si>
  <si>
    <t>Nesprávny prepočet IC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</si>
  <si>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</si>
  <si>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</si>
  <si>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</si>
  <si>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</si>
  <si>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</si>
  <si>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</si>
  <si>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</si>
  <si>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</si>
  <si>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</si>
  <si>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</si>
  <si>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</si>
  <si>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</si>
  <si>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</si>
  <si>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</si>
  <si>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</si>
  <si>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</si>
  <si>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reklamných letákov</t>
  </si>
  <si>
    <t>Počet reklam.letákov s nedostatkami</t>
  </si>
  <si>
    <t>Počet kontrolovaných produktov v reklame</t>
  </si>
  <si>
    <t>Nesprávny prepočet u PC</t>
  </si>
  <si>
    <t>Nesprávny prepočet u JC</t>
  </si>
  <si>
    <t>Počet reklam.letákov bez KK</t>
  </si>
  <si>
    <t>Počet kontrolov.cien</t>
  </si>
  <si>
    <t>Počet zvýšených cien</t>
  </si>
  <si>
    <t>Podozrenie na neodôvodnené zvýšenie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</si>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</sst>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textRotation="90"/>
    </xf>
    <xf numFmtId="0" fontId="2" fillId="2" borderId="54" xfId="0" applyFont="1" applyFill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59" xfId="0" applyFill="1" applyBorder="1" applyAlignment="1">
      <alignment/>
    </xf>
    <xf numFmtId="0" fontId="0" fillId="0" borderId="15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2" borderId="65" xfId="0" applyFill="1" applyBorder="1" applyAlignment="1">
      <alignment/>
    </xf>
    <xf numFmtId="0" fontId="1" fillId="2" borderId="66" xfId="0" applyFont="1" applyFill="1" applyBorder="1" applyAlignment="1">
      <alignment horizontal="center" vertical="center" textRotation="90" wrapText="1"/>
    </xf>
    <xf numFmtId="0" fontId="1" fillId="2" borderId="61" xfId="0" applyFont="1" applyFill="1" applyBorder="1" applyAlignment="1">
      <alignment horizontal="center" vertical="center" textRotation="90" wrapText="1"/>
    </xf>
    <xf numFmtId="0" fontId="1" fillId="2" borderId="67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68" xfId="0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2" fillId="2" borderId="4" xfId="0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2" fillId="2" borderId="69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textRotation="90"/>
    </xf>
    <xf numFmtId="0" fontId="2" fillId="5" borderId="36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11" fillId="5" borderId="69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2" fillId="6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23"/>
  <sheetViews>
    <sheetView tabSelected="1" zoomScale="75" zoomScaleNormal="75" workbookViewId="0" topLeftCell="A1">
      <selection activeCell="C6" sqref="C6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4" width="6.25390625" style="0" customWidth="1"/>
    <col min="5" max="6" width="4.875" style="0" customWidth="1"/>
    <col min="7" max="7" width="7.375" style="0" customWidth="1"/>
    <col min="8" max="8" width="5.125" style="0" customWidth="1"/>
    <col min="9" max="9" width="5.625" style="0" customWidth="1"/>
    <col min="10" max="10" width="5.75390625" style="0" customWidth="1"/>
    <col min="11" max="12" width="5.375" style="0" customWidth="1"/>
    <col min="14" max="14" width="7.875" style="0" customWidth="1"/>
    <col min="15" max="15" width="7.75390625" style="0" customWidth="1"/>
    <col min="16" max="16" width="6.625" style="0" customWidth="1"/>
    <col min="17" max="17" width="6.375" style="0" customWidth="1"/>
    <col min="18" max="18" width="6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00390625" style="0" customWidth="1"/>
    <col min="26" max="26" width="4.625" style="0" customWidth="1"/>
    <col min="27" max="28" width="4.375" style="0" customWidth="1"/>
    <col min="29" max="29" width="4.75390625" style="0" customWidth="1"/>
    <col min="30" max="30" width="4.625" style="0" customWidth="1"/>
    <col min="31" max="31" width="5.75390625" style="0" customWidth="1"/>
    <col min="32" max="32" width="5.125" style="0" customWidth="1"/>
    <col min="33" max="33" width="5.625" style="0" customWidth="1"/>
    <col min="34" max="34" width="5.25390625" style="0" customWidth="1"/>
    <col min="35" max="35" width="6.25390625" style="0" customWidth="1"/>
    <col min="36" max="36" width="4.62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5.25390625" style="0" customWidth="1"/>
    <col min="42" max="42" width="5.625" style="0" customWidth="1"/>
    <col min="43" max="43" width="5.00390625" style="0" customWidth="1"/>
  </cols>
  <sheetData>
    <row r="3" spans="1:43" ht="20.25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8"/>
      <c r="AP3" s="68"/>
      <c r="AQ3" s="68"/>
    </row>
    <row r="4" spans="1:43" ht="18.75">
      <c r="A4" s="69" t="s">
        <v>65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3" ht="18.75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="50" customFormat="1" ht="12.75" thickBot="1"/>
    <row r="7" spans="1:43" ht="24" customHeight="1" thickBot="1" thickTop="1">
      <c r="A7" s="72" t="s">
        <v>0</v>
      </c>
      <c r="B7" s="74" t="s">
        <v>1</v>
      </c>
      <c r="C7" s="76" t="s">
        <v>2</v>
      </c>
      <c r="D7" s="74" t="s">
        <v>35</v>
      </c>
      <c r="E7" s="64" t="s">
        <v>23</v>
      </c>
      <c r="F7" s="65"/>
      <c r="G7" s="66"/>
      <c r="H7" s="64" t="s">
        <v>5</v>
      </c>
      <c r="I7" s="70"/>
      <c r="J7" s="70"/>
      <c r="K7" s="70"/>
      <c r="L7" s="71"/>
      <c r="M7" s="59" t="s">
        <v>37</v>
      </c>
      <c r="N7" s="60"/>
      <c r="O7" s="60"/>
      <c r="P7" s="60"/>
      <c r="Q7" s="60"/>
      <c r="R7" s="60"/>
      <c r="S7" s="60"/>
      <c r="T7" s="61"/>
      <c r="U7" s="62" t="s">
        <v>6</v>
      </c>
      <c r="V7" s="63"/>
      <c r="W7" s="63"/>
      <c r="X7" s="58" t="s">
        <v>34</v>
      </c>
      <c r="Y7" s="58"/>
      <c r="Z7" s="58"/>
      <c r="AA7" s="58"/>
      <c r="AB7" s="58"/>
      <c r="AC7" s="58" t="s">
        <v>7</v>
      </c>
      <c r="AD7" s="58"/>
      <c r="AE7" s="58"/>
      <c r="AF7" s="58"/>
      <c r="AG7" s="62" t="s">
        <v>36</v>
      </c>
      <c r="AH7" s="63"/>
      <c r="AI7" s="63"/>
      <c r="AJ7" s="63"/>
      <c r="AK7" s="63"/>
      <c r="AL7" s="63"/>
      <c r="AM7" s="63"/>
      <c r="AN7" s="63"/>
      <c r="AO7" s="58" t="s">
        <v>8</v>
      </c>
      <c r="AP7" s="58"/>
      <c r="AQ7" s="58"/>
    </row>
    <row r="8" spans="1:43" ht="159.75" customHeight="1" thickBot="1" thickTop="1">
      <c r="A8" s="73"/>
      <c r="B8" s="75"/>
      <c r="C8" s="77"/>
      <c r="D8" s="78"/>
      <c r="E8" s="7" t="s">
        <v>38</v>
      </c>
      <c r="F8" s="7" t="s">
        <v>39</v>
      </c>
      <c r="G8" s="7" t="s">
        <v>40</v>
      </c>
      <c r="H8" s="1" t="s">
        <v>41</v>
      </c>
      <c r="I8" s="1" t="s">
        <v>15</v>
      </c>
      <c r="J8" s="1" t="s">
        <v>16</v>
      </c>
      <c r="K8" s="1" t="s">
        <v>4</v>
      </c>
      <c r="L8" s="54" t="s">
        <v>17</v>
      </c>
      <c r="M8" s="1" t="s">
        <v>42</v>
      </c>
      <c r="N8" s="1" t="s">
        <v>43</v>
      </c>
      <c r="O8" s="1" t="s">
        <v>32</v>
      </c>
      <c r="P8" s="1" t="s">
        <v>43</v>
      </c>
      <c r="Q8" s="1" t="s">
        <v>44</v>
      </c>
      <c r="R8" s="1" t="s">
        <v>18</v>
      </c>
      <c r="S8" s="1" t="s">
        <v>45</v>
      </c>
      <c r="T8" s="2" t="s">
        <v>19</v>
      </c>
      <c r="U8" s="3" t="s">
        <v>46</v>
      </c>
      <c r="V8" s="3" t="s">
        <v>47</v>
      </c>
      <c r="W8" s="3" t="s">
        <v>48</v>
      </c>
      <c r="X8" s="55" t="s">
        <v>49</v>
      </c>
      <c r="Y8" s="3" t="s">
        <v>50</v>
      </c>
      <c r="Z8" s="3" t="s">
        <v>51</v>
      </c>
      <c r="AA8" s="3" t="s">
        <v>52</v>
      </c>
      <c r="AB8" s="4" t="s">
        <v>53</v>
      </c>
      <c r="AC8" s="4" t="s">
        <v>50</v>
      </c>
      <c r="AD8" s="3" t="s">
        <v>54</v>
      </c>
      <c r="AE8" s="3" t="s">
        <v>55</v>
      </c>
      <c r="AF8" s="42" t="s">
        <v>56</v>
      </c>
      <c r="AG8" s="4" t="s">
        <v>57</v>
      </c>
      <c r="AH8" s="42" t="s">
        <v>58</v>
      </c>
      <c r="AI8" s="42" t="s">
        <v>59</v>
      </c>
      <c r="AJ8" s="42" t="s">
        <v>44</v>
      </c>
      <c r="AK8" s="42" t="s">
        <v>60</v>
      </c>
      <c r="AL8" s="42" t="s">
        <v>45</v>
      </c>
      <c r="AM8" s="42" t="s">
        <v>61</v>
      </c>
      <c r="AN8" s="42" t="s">
        <v>62</v>
      </c>
      <c r="AO8" s="4" t="s">
        <v>50</v>
      </c>
      <c r="AP8" s="4" t="s">
        <v>63</v>
      </c>
      <c r="AQ8" s="4" t="s">
        <v>64</v>
      </c>
    </row>
    <row r="9" spans="1:44" s="33" customFormat="1" ht="49.5" customHeight="1" thickBot="1" thickTop="1">
      <c r="A9" s="40" t="s">
        <v>24</v>
      </c>
      <c r="B9" s="9">
        <v>378</v>
      </c>
      <c r="C9" s="10">
        <v>78</v>
      </c>
      <c r="D9" s="51">
        <v>23</v>
      </c>
      <c r="E9" s="9">
        <v>13</v>
      </c>
      <c r="F9" s="10">
        <v>3</v>
      </c>
      <c r="G9" s="11">
        <v>11</v>
      </c>
      <c r="H9" s="26">
        <v>8</v>
      </c>
      <c r="I9" s="10">
        <v>0</v>
      </c>
      <c r="J9" s="10">
        <v>3</v>
      </c>
      <c r="K9" s="34">
        <v>9</v>
      </c>
      <c r="L9" s="35">
        <v>1</v>
      </c>
      <c r="M9" s="43">
        <f>9805+3943</f>
        <v>13748</v>
      </c>
      <c r="N9" s="34">
        <f>869+2026</f>
        <v>2895</v>
      </c>
      <c r="O9" s="34">
        <f>131+36</f>
        <v>167</v>
      </c>
      <c r="P9" s="34">
        <v>52</v>
      </c>
      <c r="Q9" s="34">
        <f>110+28</f>
        <v>138</v>
      </c>
      <c r="R9" s="34">
        <f>377+150</f>
        <v>527</v>
      </c>
      <c r="S9" s="34">
        <f>196+113</f>
        <v>309</v>
      </c>
      <c r="T9" s="38">
        <f>84+41</f>
        <v>125</v>
      </c>
      <c r="U9" s="43">
        <v>410</v>
      </c>
      <c r="V9" s="34">
        <v>0</v>
      </c>
      <c r="W9" s="35">
        <v>17</v>
      </c>
      <c r="X9" s="9">
        <v>0</v>
      </c>
      <c r="Y9" s="10">
        <v>0</v>
      </c>
      <c r="Z9" s="10">
        <v>0</v>
      </c>
      <c r="AA9" s="10">
        <v>0</v>
      </c>
      <c r="AB9" s="22">
        <v>0</v>
      </c>
      <c r="AC9" s="9">
        <v>0</v>
      </c>
      <c r="AD9" s="10">
        <v>0</v>
      </c>
      <c r="AE9" s="10">
        <v>0</v>
      </c>
      <c r="AF9" s="11">
        <v>0</v>
      </c>
      <c r="AG9" s="9">
        <v>41</v>
      </c>
      <c r="AH9" s="10">
        <v>5</v>
      </c>
      <c r="AI9" s="34">
        <v>400</v>
      </c>
      <c r="AJ9" s="34">
        <v>0</v>
      </c>
      <c r="AK9" s="34">
        <v>13</v>
      </c>
      <c r="AL9" s="34">
        <v>19</v>
      </c>
      <c r="AM9" s="34">
        <v>0</v>
      </c>
      <c r="AN9" s="46">
        <v>13</v>
      </c>
      <c r="AO9" s="26">
        <v>0</v>
      </c>
      <c r="AP9" s="10">
        <v>0</v>
      </c>
      <c r="AQ9" s="11">
        <v>0</v>
      </c>
      <c r="AR9" s="32"/>
    </row>
    <row r="10" spans="1:44" s="33" customFormat="1" ht="49.5" customHeight="1" thickBot="1" thickTop="1">
      <c r="A10" s="40" t="s">
        <v>31</v>
      </c>
      <c r="B10" s="12">
        <v>395</v>
      </c>
      <c r="C10" s="13">
        <v>69</v>
      </c>
      <c r="D10" s="52">
        <v>18</v>
      </c>
      <c r="E10" s="12">
        <v>2</v>
      </c>
      <c r="F10" s="13">
        <v>0</v>
      </c>
      <c r="G10" s="14">
        <v>1</v>
      </c>
      <c r="H10" s="27">
        <v>12</v>
      </c>
      <c r="I10" s="13">
        <v>0</v>
      </c>
      <c r="J10" s="13">
        <v>1</v>
      </c>
      <c r="K10" s="13">
        <v>3</v>
      </c>
      <c r="L10" s="23">
        <v>1</v>
      </c>
      <c r="M10" s="12">
        <f>7095+5459</f>
        <v>12554</v>
      </c>
      <c r="N10" s="13">
        <f>110+508</f>
        <v>618</v>
      </c>
      <c r="O10" s="13">
        <f>3+13</f>
        <v>16</v>
      </c>
      <c r="P10" s="13">
        <v>0</v>
      </c>
      <c r="Q10" s="13">
        <f>104+69</f>
        <v>173</v>
      </c>
      <c r="R10" s="13">
        <f>121+72</f>
        <v>193</v>
      </c>
      <c r="S10" s="13">
        <f>394+270</f>
        <v>664</v>
      </c>
      <c r="T10" s="13">
        <f>3</f>
        <v>3</v>
      </c>
      <c r="U10" s="12">
        <f>334</f>
        <v>334</v>
      </c>
      <c r="V10" s="13">
        <v>11</v>
      </c>
      <c r="W10" s="23">
        <v>6</v>
      </c>
      <c r="X10" s="12">
        <v>0</v>
      </c>
      <c r="Y10" s="13">
        <v>0</v>
      </c>
      <c r="Z10" s="13">
        <v>0</v>
      </c>
      <c r="AA10" s="13">
        <v>8</v>
      </c>
      <c r="AB10" s="23">
        <v>0</v>
      </c>
      <c r="AC10" s="12">
        <v>0</v>
      </c>
      <c r="AD10" s="13">
        <v>0</v>
      </c>
      <c r="AE10" s="13">
        <v>0</v>
      </c>
      <c r="AF10" s="14">
        <v>0</v>
      </c>
      <c r="AG10" s="12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4">
        <v>0</v>
      </c>
      <c r="AO10" s="27">
        <v>67</v>
      </c>
      <c r="AP10" s="13">
        <v>0</v>
      </c>
      <c r="AQ10" s="14">
        <v>0</v>
      </c>
      <c r="AR10" s="32"/>
    </row>
    <row r="11" spans="1:44" s="33" customFormat="1" ht="49.5" customHeight="1" thickBot="1" thickTop="1">
      <c r="A11" s="40" t="s">
        <v>25</v>
      </c>
      <c r="B11" s="12">
        <v>525</v>
      </c>
      <c r="C11" s="13">
        <v>145</v>
      </c>
      <c r="D11" s="52">
        <v>90</v>
      </c>
      <c r="E11" s="12">
        <v>0</v>
      </c>
      <c r="F11" s="13">
        <v>0</v>
      </c>
      <c r="G11" s="14">
        <v>3</v>
      </c>
      <c r="H11" s="27">
        <v>0</v>
      </c>
      <c r="I11" s="13">
        <v>0</v>
      </c>
      <c r="J11" s="13">
        <v>1</v>
      </c>
      <c r="K11" s="13">
        <v>1</v>
      </c>
      <c r="L11" s="23">
        <v>0</v>
      </c>
      <c r="M11" s="12">
        <f>12830+10060</f>
        <v>22890</v>
      </c>
      <c r="N11" s="13">
        <f>643+3426</f>
        <v>4069</v>
      </c>
      <c r="O11" s="13">
        <f>1019+821</f>
        <v>1840</v>
      </c>
      <c r="P11" s="13">
        <f>45+103</f>
        <v>148</v>
      </c>
      <c r="Q11" s="13">
        <f>198+58</f>
        <v>256</v>
      </c>
      <c r="R11" s="13">
        <f>285+344</f>
        <v>629</v>
      </c>
      <c r="S11" s="13">
        <f>442+272</f>
        <v>714</v>
      </c>
      <c r="T11" s="13">
        <f>94+147</f>
        <v>241</v>
      </c>
      <c r="U11" s="12">
        <v>2024</v>
      </c>
      <c r="V11" s="13">
        <v>70</v>
      </c>
      <c r="W11" s="23">
        <v>84</v>
      </c>
      <c r="X11" s="12">
        <v>0</v>
      </c>
      <c r="Y11" s="13">
        <v>0</v>
      </c>
      <c r="Z11" s="13">
        <v>0</v>
      </c>
      <c r="AA11" s="13">
        <v>0</v>
      </c>
      <c r="AB11" s="23">
        <v>0</v>
      </c>
      <c r="AC11" s="12">
        <v>0</v>
      </c>
      <c r="AD11" s="13">
        <v>0</v>
      </c>
      <c r="AE11" s="13">
        <v>0</v>
      </c>
      <c r="AF11" s="14">
        <v>0</v>
      </c>
      <c r="AG11" s="12">
        <v>53</v>
      </c>
      <c r="AH11" s="13">
        <v>1</v>
      </c>
      <c r="AI11" s="13">
        <v>298</v>
      </c>
      <c r="AJ11" s="13">
        <v>0</v>
      </c>
      <c r="AK11" s="13">
        <v>50</v>
      </c>
      <c r="AL11" s="13">
        <v>0</v>
      </c>
      <c r="AM11" s="13">
        <v>0</v>
      </c>
      <c r="AN11" s="14">
        <v>0</v>
      </c>
      <c r="AO11" s="27">
        <v>0</v>
      </c>
      <c r="AP11" s="13">
        <v>0</v>
      </c>
      <c r="AQ11" s="14">
        <v>0</v>
      </c>
      <c r="AR11" s="32"/>
    </row>
    <row r="12" spans="1:43" s="33" customFormat="1" ht="49.5" customHeight="1" thickBot="1" thickTop="1">
      <c r="A12" s="40" t="s">
        <v>26</v>
      </c>
      <c r="B12" s="12">
        <v>379</v>
      </c>
      <c r="C12" s="13">
        <v>149</v>
      </c>
      <c r="D12" s="52">
        <v>126</v>
      </c>
      <c r="E12" s="12">
        <v>12</v>
      </c>
      <c r="F12" s="13">
        <v>1</v>
      </c>
      <c r="G12" s="14">
        <v>1</v>
      </c>
      <c r="H12" s="27">
        <v>7</v>
      </c>
      <c r="I12" s="13">
        <v>2</v>
      </c>
      <c r="J12" s="13">
        <v>0</v>
      </c>
      <c r="K12" s="13">
        <v>8</v>
      </c>
      <c r="L12" s="23">
        <v>2</v>
      </c>
      <c r="M12" s="12">
        <f>9876+5195</f>
        <v>15071</v>
      </c>
      <c r="N12" s="13">
        <f>741+1554</f>
        <v>2295</v>
      </c>
      <c r="O12" s="13">
        <f>616+229</f>
        <v>845</v>
      </c>
      <c r="P12" s="13">
        <f>107+82</f>
        <v>189</v>
      </c>
      <c r="Q12" s="13">
        <f>235+69</f>
        <v>304</v>
      </c>
      <c r="R12" s="13">
        <f>304+129</f>
        <v>433</v>
      </c>
      <c r="S12" s="13">
        <f>169+4</f>
        <v>173</v>
      </c>
      <c r="T12" s="13">
        <v>14</v>
      </c>
      <c r="U12" s="12">
        <v>562</v>
      </c>
      <c r="V12" s="13">
        <v>0</v>
      </c>
      <c r="W12" s="23">
        <v>28</v>
      </c>
      <c r="X12" s="12">
        <v>0</v>
      </c>
      <c r="Y12" s="13">
        <v>0</v>
      </c>
      <c r="Z12" s="13">
        <v>0</v>
      </c>
      <c r="AA12" s="13">
        <v>0</v>
      </c>
      <c r="AB12" s="23">
        <v>0</v>
      </c>
      <c r="AC12" s="12">
        <v>0</v>
      </c>
      <c r="AD12" s="13">
        <v>0</v>
      </c>
      <c r="AE12" s="13">
        <v>0</v>
      </c>
      <c r="AF12" s="14">
        <v>0</v>
      </c>
      <c r="AG12" s="12">
        <v>42</v>
      </c>
      <c r="AH12" s="13">
        <v>14</v>
      </c>
      <c r="AI12" s="13">
        <v>1714</v>
      </c>
      <c r="AJ12" s="13">
        <v>63</v>
      </c>
      <c r="AK12" s="13">
        <v>47</v>
      </c>
      <c r="AL12" s="13">
        <v>0</v>
      </c>
      <c r="AM12" s="13">
        <v>0</v>
      </c>
      <c r="AN12" s="14">
        <v>0</v>
      </c>
      <c r="AO12" s="27">
        <v>0</v>
      </c>
      <c r="AP12" s="13">
        <v>0</v>
      </c>
      <c r="AQ12" s="14">
        <v>0</v>
      </c>
    </row>
    <row r="13" spans="1:44" s="33" customFormat="1" ht="49.5" customHeight="1" thickBot="1" thickTop="1">
      <c r="A13" s="40" t="s">
        <v>27</v>
      </c>
      <c r="B13" s="12">
        <v>468</v>
      </c>
      <c r="C13" s="13">
        <v>25</v>
      </c>
      <c r="D13" s="52">
        <v>4</v>
      </c>
      <c r="E13" s="12">
        <v>1</v>
      </c>
      <c r="F13" s="13">
        <v>0</v>
      </c>
      <c r="G13" s="14">
        <v>0</v>
      </c>
      <c r="H13" s="27">
        <v>0</v>
      </c>
      <c r="I13" s="13">
        <v>0</v>
      </c>
      <c r="J13" s="13">
        <v>0</v>
      </c>
      <c r="K13" s="13">
        <v>0</v>
      </c>
      <c r="L13" s="23">
        <v>4</v>
      </c>
      <c r="M13" s="12">
        <f>22568+8101</f>
        <v>30669</v>
      </c>
      <c r="N13" s="13">
        <f>1892+1021</f>
        <v>2913</v>
      </c>
      <c r="O13" s="13">
        <f>242+210</f>
        <v>452</v>
      </c>
      <c r="P13" s="13">
        <f>95+131</f>
        <v>226</v>
      </c>
      <c r="Q13" s="13">
        <v>26</v>
      </c>
      <c r="R13" s="13">
        <v>108</v>
      </c>
      <c r="S13" s="13">
        <v>188</v>
      </c>
      <c r="T13" s="13">
        <f>102+28</f>
        <v>130</v>
      </c>
      <c r="U13" s="12">
        <v>2674</v>
      </c>
      <c r="V13" s="13">
        <v>0</v>
      </c>
      <c r="W13" s="23">
        <v>0</v>
      </c>
      <c r="X13" s="12">
        <v>0</v>
      </c>
      <c r="Y13" s="13">
        <v>0</v>
      </c>
      <c r="Z13" s="13">
        <v>0</v>
      </c>
      <c r="AA13" s="13">
        <v>0</v>
      </c>
      <c r="AB13" s="23">
        <v>0</v>
      </c>
      <c r="AC13" s="12">
        <v>0</v>
      </c>
      <c r="AD13" s="13">
        <v>0</v>
      </c>
      <c r="AE13" s="13">
        <v>0</v>
      </c>
      <c r="AF13" s="14">
        <v>0</v>
      </c>
      <c r="AG13" s="12">
        <v>71</v>
      </c>
      <c r="AH13" s="13">
        <v>2</v>
      </c>
      <c r="AI13" s="13">
        <v>2799</v>
      </c>
      <c r="AJ13" s="13">
        <v>0</v>
      </c>
      <c r="AK13" s="13">
        <v>4</v>
      </c>
      <c r="AL13" s="13">
        <v>0</v>
      </c>
      <c r="AM13" s="13">
        <v>0</v>
      </c>
      <c r="AN13" s="14">
        <v>0</v>
      </c>
      <c r="AO13" s="27">
        <v>141</v>
      </c>
      <c r="AP13" s="13">
        <v>77</v>
      </c>
      <c r="AQ13" s="14">
        <v>0</v>
      </c>
      <c r="AR13" s="32"/>
    </row>
    <row r="14" spans="1:44" s="33" customFormat="1" ht="49.5" customHeight="1" thickBot="1" thickTop="1">
      <c r="A14" s="41" t="s">
        <v>28</v>
      </c>
      <c r="B14" s="12">
        <v>535</v>
      </c>
      <c r="C14" s="13">
        <v>167</v>
      </c>
      <c r="D14" s="52">
        <v>77</v>
      </c>
      <c r="E14" s="12">
        <v>2</v>
      </c>
      <c r="F14" s="13">
        <v>0</v>
      </c>
      <c r="G14" s="14">
        <v>3</v>
      </c>
      <c r="H14" s="27">
        <v>1</v>
      </c>
      <c r="I14" s="13">
        <v>0</v>
      </c>
      <c r="J14" s="13">
        <v>0</v>
      </c>
      <c r="K14" s="13">
        <v>3</v>
      </c>
      <c r="L14" s="23">
        <v>0</v>
      </c>
      <c r="M14" s="12">
        <f>6455+2177</f>
        <v>8632</v>
      </c>
      <c r="N14" s="13">
        <f>277+55</f>
        <v>332</v>
      </c>
      <c r="O14" s="13">
        <f>109+11</f>
        <v>120</v>
      </c>
      <c r="P14" s="13">
        <v>15</v>
      </c>
      <c r="Q14" s="13">
        <v>83</v>
      </c>
      <c r="R14" s="13">
        <f>346+49</f>
        <v>395</v>
      </c>
      <c r="S14" s="13">
        <f>626+375</f>
        <v>1001</v>
      </c>
      <c r="T14" s="13">
        <f>108+11</f>
        <v>119</v>
      </c>
      <c r="U14" s="12">
        <v>4150</v>
      </c>
      <c r="V14" s="13">
        <v>148</v>
      </c>
      <c r="W14" s="23">
        <v>302</v>
      </c>
      <c r="X14" s="12">
        <v>0</v>
      </c>
      <c r="Y14" s="13">
        <v>0</v>
      </c>
      <c r="Z14" s="13">
        <v>0</v>
      </c>
      <c r="AA14" s="13">
        <v>0</v>
      </c>
      <c r="AB14" s="23">
        <v>0</v>
      </c>
      <c r="AC14" s="12">
        <v>0</v>
      </c>
      <c r="AD14" s="13">
        <v>0</v>
      </c>
      <c r="AE14" s="13">
        <v>0</v>
      </c>
      <c r="AF14" s="14">
        <v>0</v>
      </c>
      <c r="AG14" s="12">
        <v>1</v>
      </c>
      <c r="AH14" s="13">
        <v>0</v>
      </c>
      <c r="AI14" s="13">
        <v>15</v>
      </c>
      <c r="AJ14" s="13">
        <v>0</v>
      </c>
      <c r="AK14" s="13">
        <v>0</v>
      </c>
      <c r="AL14" s="13">
        <v>0</v>
      </c>
      <c r="AM14" s="13">
        <v>0</v>
      </c>
      <c r="AN14" s="14">
        <v>0</v>
      </c>
      <c r="AO14" s="27">
        <v>0</v>
      </c>
      <c r="AP14" s="13">
        <v>0</v>
      </c>
      <c r="AQ14" s="14">
        <v>0</v>
      </c>
      <c r="AR14" s="32"/>
    </row>
    <row r="15" spans="1:43" s="33" customFormat="1" ht="49.5" customHeight="1" thickBot="1" thickTop="1">
      <c r="A15" s="40" t="s">
        <v>29</v>
      </c>
      <c r="B15" s="12">
        <v>515</v>
      </c>
      <c r="C15" s="13">
        <v>218</v>
      </c>
      <c r="D15" s="52">
        <v>79</v>
      </c>
      <c r="E15" s="12">
        <v>10</v>
      </c>
      <c r="F15" s="13">
        <v>1</v>
      </c>
      <c r="G15" s="14">
        <v>8</v>
      </c>
      <c r="H15" s="27">
        <v>6</v>
      </c>
      <c r="I15" s="13">
        <v>2</v>
      </c>
      <c r="J15" s="13">
        <v>8</v>
      </c>
      <c r="K15" s="13">
        <v>4</v>
      </c>
      <c r="L15" s="23">
        <v>2</v>
      </c>
      <c r="M15" s="12">
        <f>17499+11715</f>
        <v>29214</v>
      </c>
      <c r="N15" s="13">
        <f>1390+4593</f>
        <v>5983</v>
      </c>
      <c r="O15" s="13">
        <f>1940+792</f>
        <v>2732</v>
      </c>
      <c r="P15" s="13">
        <f>14+95</f>
        <v>109</v>
      </c>
      <c r="Q15" s="13">
        <f>1189+128</f>
        <v>1317</v>
      </c>
      <c r="R15" s="13">
        <f>323+218</f>
        <v>541</v>
      </c>
      <c r="S15" s="13">
        <f>417+429</f>
        <v>846</v>
      </c>
      <c r="T15" s="13">
        <f>11+17</f>
        <v>28</v>
      </c>
      <c r="U15" s="12">
        <v>792</v>
      </c>
      <c r="V15" s="13">
        <v>168</v>
      </c>
      <c r="W15" s="23">
        <v>70</v>
      </c>
      <c r="X15" s="12">
        <v>0</v>
      </c>
      <c r="Y15" s="13">
        <v>30</v>
      </c>
      <c r="Z15" s="13">
        <v>0</v>
      </c>
      <c r="AA15" s="13">
        <v>30</v>
      </c>
      <c r="AB15" s="23">
        <v>0</v>
      </c>
      <c r="AC15" s="12">
        <v>0</v>
      </c>
      <c r="AD15" s="13">
        <v>0</v>
      </c>
      <c r="AE15" s="13">
        <v>0</v>
      </c>
      <c r="AF15" s="14">
        <v>0</v>
      </c>
      <c r="AG15" s="12">
        <v>9</v>
      </c>
      <c r="AH15" s="13">
        <v>6</v>
      </c>
      <c r="AI15" s="13">
        <v>1512</v>
      </c>
      <c r="AJ15" s="13">
        <v>0</v>
      </c>
      <c r="AK15" s="13">
        <v>3</v>
      </c>
      <c r="AL15" s="13">
        <v>6</v>
      </c>
      <c r="AM15" s="13">
        <v>3</v>
      </c>
      <c r="AN15" s="14">
        <v>0</v>
      </c>
      <c r="AO15" s="27">
        <v>2</v>
      </c>
      <c r="AP15" s="13">
        <v>0</v>
      </c>
      <c r="AQ15" s="14">
        <v>0</v>
      </c>
    </row>
    <row r="16" spans="1:44" s="33" customFormat="1" ht="49.5" customHeight="1" thickBot="1" thickTop="1">
      <c r="A16" s="40" t="s">
        <v>30</v>
      </c>
      <c r="B16" s="15">
        <v>753</v>
      </c>
      <c r="C16" s="16">
        <v>222</v>
      </c>
      <c r="D16" s="53">
        <v>158</v>
      </c>
      <c r="E16" s="15">
        <v>5</v>
      </c>
      <c r="F16" s="16">
        <v>0</v>
      </c>
      <c r="G16" s="45">
        <v>0</v>
      </c>
      <c r="H16" s="28">
        <v>9</v>
      </c>
      <c r="I16" s="16">
        <v>0</v>
      </c>
      <c r="J16" s="16">
        <v>0</v>
      </c>
      <c r="K16" s="36">
        <v>2</v>
      </c>
      <c r="L16" s="37">
        <v>1</v>
      </c>
      <c r="M16" s="44">
        <f>22559+5289</f>
        <v>27848</v>
      </c>
      <c r="N16" s="36">
        <f>263</f>
        <v>263</v>
      </c>
      <c r="O16" s="36">
        <f>2269+449</f>
        <v>2718</v>
      </c>
      <c r="P16" s="36">
        <v>36</v>
      </c>
      <c r="Q16" s="36">
        <f>991+34</f>
        <v>1025</v>
      </c>
      <c r="R16" s="36">
        <f>1116+96</f>
        <v>1212</v>
      </c>
      <c r="S16" s="36">
        <f>315+252</f>
        <v>567</v>
      </c>
      <c r="T16" s="39">
        <f>36+26</f>
        <v>62</v>
      </c>
      <c r="U16" s="44">
        <v>8812</v>
      </c>
      <c r="V16" s="36">
        <v>212</v>
      </c>
      <c r="W16" s="37">
        <v>927</v>
      </c>
      <c r="X16" s="44">
        <v>0</v>
      </c>
      <c r="Y16" s="16">
        <v>0</v>
      </c>
      <c r="Z16" s="16">
        <v>0</v>
      </c>
      <c r="AA16" s="16">
        <v>0</v>
      </c>
      <c r="AB16" s="24">
        <v>0</v>
      </c>
      <c r="AC16" s="15">
        <v>1</v>
      </c>
      <c r="AD16" s="16">
        <v>0</v>
      </c>
      <c r="AE16" s="16">
        <v>0</v>
      </c>
      <c r="AF16" s="45">
        <v>0</v>
      </c>
      <c r="AG16" s="15">
        <v>29</v>
      </c>
      <c r="AH16" s="16">
        <v>1</v>
      </c>
      <c r="AI16" s="36">
        <v>477</v>
      </c>
      <c r="AJ16" s="36">
        <v>0</v>
      </c>
      <c r="AK16" s="36">
        <v>0</v>
      </c>
      <c r="AL16" s="36">
        <v>0</v>
      </c>
      <c r="AM16" s="36">
        <v>1</v>
      </c>
      <c r="AN16" s="47">
        <v>0</v>
      </c>
      <c r="AO16" s="31">
        <v>21</v>
      </c>
      <c r="AP16" s="17">
        <v>8</v>
      </c>
      <c r="AQ16" s="18">
        <v>0</v>
      </c>
      <c r="AR16" s="32"/>
    </row>
    <row r="17" spans="1:43" s="33" customFormat="1" ht="76.5" customHeight="1" thickBot="1" thickTop="1">
      <c r="A17" s="8" t="s">
        <v>3</v>
      </c>
      <c r="B17" s="19">
        <f>SUM(B9:B16)</f>
        <v>3948</v>
      </c>
      <c r="C17" s="20">
        <f>SUM(C9:C16)</f>
        <v>1073</v>
      </c>
      <c r="D17" s="25">
        <f>SUM(D9:D16)</f>
        <v>575</v>
      </c>
      <c r="E17" s="19">
        <f aca="true" t="shared" si="0" ref="E17:J17">SUM(E9:E16)</f>
        <v>45</v>
      </c>
      <c r="F17" s="20">
        <f t="shared" si="0"/>
        <v>5</v>
      </c>
      <c r="G17" s="21">
        <f t="shared" si="0"/>
        <v>27</v>
      </c>
      <c r="H17" s="29">
        <f t="shared" si="0"/>
        <v>43</v>
      </c>
      <c r="I17" s="20">
        <f t="shared" si="0"/>
        <v>4</v>
      </c>
      <c r="J17" s="20">
        <f t="shared" si="0"/>
        <v>13</v>
      </c>
      <c r="K17" s="20">
        <f aca="true" t="shared" si="1" ref="K17:W17">SUM(K9:K16)</f>
        <v>30</v>
      </c>
      <c r="L17" s="21">
        <f t="shared" si="1"/>
        <v>11</v>
      </c>
      <c r="M17" s="29">
        <f t="shared" si="1"/>
        <v>160626</v>
      </c>
      <c r="N17" s="20">
        <f t="shared" si="1"/>
        <v>19368</v>
      </c>
      <c r="O17" s="20">
        <f t="shared" si="1"/>
        <v>8890</v>
      </c>
      <c r="P17" s="20">
        <f t="shared" si="1"/>
        <v>775</v>
      </c>
      <c r="Q17" s="20">
        <f t="shared" si="1"/>
        <v>3322</v>
      </c>
      <c r="R17" s="20">
        <f t="shared" si="1"/>
        <v>4038</v>
      </c>
      <c r="S17" s="20">
        <f t="shared" si="1"/>
        <v>4462</v>
      </c>
      <c r="T17" s="30">
        <f t="shared" si="1"/>
        <v>722</v>
      </c>
      <c r="U17" s="19">
        <f t="shared" si="1"/>
        <v>19758</v>
      </c>
      <c r="V17" s="20">
        <f t="shared" si="1"/>
        <v>609</v>
      </c>
      <c r="W17" s="21">
        <f t="shared" si="1"/>
        <v>1434</v>
      </c>
      <c r="X17" s="29">
        <f aca="true" t="shared" si="2" ref="X17:AH17">SUM(X9:X16)</f>
        <v>0</v>
      </c>
      <c r="Y17" s="20">
        <f t="shared" si="2"/>
        <v>30</v>
      </c>
      <c r="Z17" s="20">
        <f t="shared" si="2"/>
        <v>0</v>
      </c>
      <c r="AA17" s="20">
        <f t="shared" si="2"/>
        <v>38</v>
      </c>
      <c r="AB17" s="25">
        <f t="shared" si="2"/>
        <v>0</v>
      </c>
      <c r="AC17" s="19">
        <f t="shared" si="2"/>
        <v>1</v>
      </c>
      <c r="AD17" s="20">
        <f t="shared" si="2"/>
        <v>0</v>
      </c>
      <c r="AE17" s="20">
        <f t="shared" si="2"/>
        <v>0</v>
      </c>
      <c r="AF17" s="21">
        <f t="shared" si="2"/>
        <v>0</v>
      </c>
      <c r="AG17" s="29">
        <f t="shared" si="2"/>
        <v>246</v>
      </c>
      <c r="AH17" s="20">
        <f t="shared" si="2"/>
        <v>29</v>
      </c>
      <c r="AI17" s="20">
        <f aca="true" t="shared" si="3" ref="AI17:AQ17">SUM(AI9:AI16)</f>
        <v>7215</v>
      </c>
      <c r="AJ17" s="20">
        <f t="shared" si="3"/>
        <v>63</v>
      </c>
      <c r="AK17" s="20">
        <f t="shared" si="3"/>
        <v>117</v>
      </c>
      <c r="AL17" s="20">
        <f t="shared" si="3"/>
        <v>25</v>
      </c>
      <c r="AM17" s="20">
        <f t="shared" si="3"/>
        <v>4</v>
      </c>
      <c r="AN17" s="25">
        <f t="shared" si="3"/>
        <v>13</v>
      </c>
      <c r="AO17" s="19">
        <f t="shared" si="3"/>
        <v>231</v>
      </c>
      <c r="AP17" s="20">
        <f t="shared" si="3"/>
        <v>85</v>
      </c>
      <c r="AQ17" s="21">
        <f t="shared" si="3"/>
        <v>0</v>
      </c>
    </row>
    <row r="18" ht="13.5" thickTop="1"/>
    <row r="19" ht="15">
      <c r="B19" s="6" t="s">
        <v>9</v>
      </c>
    </row>
    <row r="20" spans="2:44" ht="14.2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 t="s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4.25">
      <c r="A21" s="5"/>
      <c r="B21" s="5" t="s">
        <v>10</v>
      </c>
      <c r="C21" s="5"/>
      <c r="D21" s="5"/>
      <c r="E21" s="5"/>
      <c r="F21" s="5"/>
      <c r="G21" s="5"/>
      <c r="H21" s="5"/>
      <c r="I21" s="5"/>
      <c r="J21" s="5"/>
      <c r="K21" s="5"/>
      <c r="L21" s="5" t="s">
        <v>12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4.25">
      <c r="A22" s="5"/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 t="s">
        <v>22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4.25">
      <c r="A23" s="5"/>
      <c r="B23" s="5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5" t="s">
        <v>20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</sheetData>
  <mergeCells count="14">
    <mergeCell ref="E7:G7"/>
    <mergeCell ref="A3:AQ3"/>
    <mergeCell ref="A4:AQ4"/>
    <mergeCell ref="H7:L7"/>
    <mergeCell ref="AO7:AQ7"/>
    <mergeCell ref="A7:A8"/>
    <mergeCell ref="B7:B8"/>
    <mergeCell ref="C7:C8"/>
    <mergeCell ref="D7:D8"/>
    <mergeCell ref="AG7:AN7"/>
    <mergeCell ref="X7:AB7"/>
    <mergeCell ref="AC7:AF7"/>
    <mergeCell ref="M7:T7"/>
    <mergeCell ref="U7:W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25"/>
  <sheetViews>
    <sheetView zoomScale="75" zoomScaleNormal="75" workbookViewId="0" topLeftCell="A1">
      <selection activeCell="B3" sqref="B3:AR3"/>
    </sheetView>
  </sheetViews>
  <sheetFormatPr defaultColWidth="9.00390625" defaultRowHeight="12.75"/>
  <cols>
    <col min="1" max="1" width="1.25" style="0" customWidth="1"/>
    <col min="2" max="2" width="15.875" style="0" customWidth="1"/>
    <col min="3" max="3" width="6.625" style="0" customWidth="1"/>
    <col min="4" max="5" width="7.00390625" style="0" customWidth="1"/>
    <col min="6" max="6" width="5.00390625" style="0" customWidth="1"/>
    <col min="7" max="7" width="5.125" style="0" customWidth="1"/>
    <col min="8" max="8" width="7.125" style="0" customWidth="1"/>
    <col min="9" max="9" width="4.875" style="0" customWidth="1"/>
    <col min="10" max="11" width="4.75390625" style="0" customWidth="1"/>
    <col min="12" max="12" width="5.125" style="0" customWidth="1"/>
    <col min="13" max="13" width="5.375" style="0" customWidth="1"/>
    <col min="14" max="14" width="8.625" style="0" customWidth="1"/>
    <col min="15" max="15" width="7.625" style="0" customWidth="1"/>
    <col min="16" max="16" width="8.00390625" style="0" customWidth="1"/>
    <col min="17" max="17" width="6.875" style="0" customWidth="1"/>
    <col min="18" max="18" width="7.25390625" style="0" customWidth="1"/>
    <col min="19" max="19" width="6.125" style="0" customWidth="1"/>
    <col min="20" max="20" width="7.125" style="0" customWidth="1"/>
    <col min="21" max="21" width="6.125" style="0" customWidth="1"/>
    <col min="22" max="22" width="7.625" style="0" customWidth="1"/>
    <col min="23" max="23" width="5.75390625" style="0" customWidth="1"/>
    <col min="24" max="24" width="6.375" style="0" customWidth="1"/>
    <col min="25" max="26" width="5.125" style="0" customWidth="1"/>
    <col min="27" max="27" width="5.375" style="0" customWidth="1"/>
    <col min="28" max="28" width="4.75390625" style="0" customWidth="1"/>
    <col min="29" max="29" width="4.25390625" style="0" customWidth="1"/>
    <col min="30" max="30" width="4.75390625" style="0" bestFit="1" customWidth="1"/>
    <col min="31" max="31" width="5.375" style="0" customWidth="1"/>
    <col min="32" max="32" width="6.125" style="0" customWidth="1"/>
    <col min="33" max="33" width="4.375" style="0" customWidth="1"/>
    <col min="34" max="34" width="5.375" style="0" customWidth="1"/>
    <col min="35" max="35" width="5.125" style="0" customWidth="1"/>
    <col min="36" max="36" width="6.00390625" style="0" customWidth="1"/>
    <col min="37" max="37" width="4.625" style="0" customWidth="1"/>
    <col min="38" max="38" width="4.375" style="0" customWidth="1"/>
    <col min="39" max="39" width="4.625" style="0" customWidth="1"/>
    <col min="40" max="40" width="4.375" style="0" customWidth="1"/>
    <col min="41" max="41" width="5.625" style="0" customWidth="1"/>
    <col min="42" max="42" width="5.00390625" style="0" customWidth="1"/>
    <col min="43" max="43" width="4.875" style="0" customWidth="1"/>
    <col min="44" max="44" width="6.125" style="0" customWidth="1"/>
  </cols>
  <sheetData>
    <row r="2" spans="2:44" ht="20.25">
      <c r="B2" s="67" t="s">
        <v>66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2:44" ht="17.25" customHeight="1">
      <c r="B3" s="69" t="s">
        <v>67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2:33" ht="17.25" customHeight="1">
      <c r="B4" s="4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2:33" ht="17.25" customHeight="1">
      <c r="B5" s="4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5:44" ht="13.5" thickBot="1">
      <c r="E6" s="8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2:44" ht="24" customHeight="1" thickBot="1" thickTop="1">
      <c r="B7" s="82" t="s">
        <v>68</v>
      </c>
      <c r="C7" s="74" t="s">
        <v>1</v>
      </c>
      <c r="D7" s="76" t="s">
        <v>2</v>
      </c>
      <c r="E7" s="74" t="s">
        <v>35</v>
      </c>
      <c r="F7" s="64" t="s">
        <v>23</v>
      </c>
      <c r="G7" s="65"/>
      <c r="H7" s="66"/>
      <c r="I7" s="64" t="s">
        <v>5</v>
      </c>
      <c r="J7" s="70"/>
      <c r="K7" s="70"/>
      <c r="L7" s="70"/>
      <c r="M7" s="71"/>
      <c r="N7" s="59" t="s">
        <v>37</v>
      </c>
      <c r="O7" s="60"/>
      <c r="P7" s="60"/>
      <c r="Q7" s="60"/>
      <c r="R7" s="60"/>
      <c r="S7" s="60"/>
      <c r="T7" s="60"/>
      <c r="U7" s="61"/>
      <c r="V7" s="62" t="s">
        <v>6</v>
      </c>
      <c r="W7" s="63"/>
      <c r="X7" s="63"/>
      <c r="Y7" s="58" t="s">
        <v>34</v>
      </c>
      <c r="Z7" s="58"/>
      <c r="AA7" s="58"/>
      <c r="AB7" s="58"/>
      <c r="AC7" s="58"/>
      <c r="AD7" s="58" t="s">
        <v>7</v>
      </c>
      <c r="AE7" s="58"/>
      <c r="AF7" s="58"/>
      <c r="AG7" s="58"/>
      <c r="AH7" s="62" t="s">
        <v>36</v>
      </c>
      <c r="AI7" s="63"/>
      <c r="AJ7" s="63"/>
      <c r="AK7" s="63"/>
      <c r="AL7" s="63"/>
      <c r="AM7" s="63"/>
      <c r="AN7" s="63"/>
      <c r="AO7" s="63"/>
      <c r="AP7" s="58" t="s">
        <v>8</v>
      </c>
      <c r="AQ7" s="58"/>
      <c r="AR7" s="58"/>
    </row>
    <row r="8" spans="2:44" ht="159.75" customHeight="1" thickBot="1" thickTop="1">
      <c r="B8" s="83"/>
      <c r="C8" s="75"/>
      <c r="D8" s="77"/>
      <c r="E8" s="78"/>
      <c r="F8" s="7" t="s">
        <v>38</v>
      </c>
      <c r="G8" s="7" t="s">
        <v>39</v>
      </c>
      <c r="H8" s="7" t="s">
        <v>40</v>
      </c>
      <c r="I8" s="1" t="s">
        <v>41</v>
      </c>
      <c r="J8" s="1" t="s">
        <v>15</v>
      </c>
      <c r="K8" s="1" t="s">
        <v>16</v>
      </c>
      <c r="L8" s="1" t="s">
        <v>4</v>
      </c>
      <c r="M8" s="54" t="s">
        <v>17</v>
      </c>
      <c r="N8" s="1" t="s">
        <v>42</v>
      </c>
      <c r="O8" s="1" t="s">
        <v>43</v>
      </c>
      <c r="P8" s="1" t="s">
        <v>32</v>
      </c>
      <c r="Q8" s="1" t="s">
        <v>43</v>
      </c>
      <c r="R8" s="1" t="s">
        <v>44</v>
      </c>
      <c r="S8" s="1" t="s">
        <v>18</v>
      </c>
      <c r="T8" s="1" t="s">
        <v>45</v>
      </c>
      <c r="U8" s="2" t="s">
        <v>19</v>
      </c>
      <c r="V8" s="3" t="s">
        <v>46</v>
      </c>
      <c r="W8" s="3" t="s">
        <v>47</v>
      </c>
      <c r="X8" s="3" t="s">
        <v>48</v>
      </c>
      <c r="Y8" s="55" t="s">
        <v>49</v>
      </c>
      <c r="Z8" s="3" t="s">
        <v>50</v>
      </c>
      <c r="AA8" s="3" t="s">
        <v>51</v>
      </c>
      <c r="AB8" s="3" t="s">
        <v>52</v>
      </c>
      <c r="AC8" s="4" t="s">
        <v>53</v>
      </c>
      <c r="AD8" s="4" t="s">
        <v>50</v>
      </c>
      <c r="AE8" s="3" t="s">
        <v>54</v>
      </c>
      <c r="AF8" s="3" t="s">
        <v>55</v>
      </c>
      <c r="AG8" s="42" t="s">
        <v>56</v>
      </c>
      <c r="AH8" s="4" t="s">
        <v>57</v>
      </c>
      <c r="AI8" s="42" t="s">
        <v>58</v>
      </c>
      <c r="AJ8" s="42" t="s">
        <v>59</v>
      </c>
      <c r="AK8" s="42" t="s">
        <v>44</v>
      </c>
      <c r="AL8" s="42" t="s">
        <v>60</v>
      </c>
      <c r="AM8" s="42" t="s">
        <v>45</v>
      </c>
      <c r="AN8" s="42" t="s">
        <v>61</v>
      </c>
      <c r="AO8" s="42" t="s">
        <v>62</v>
      </c>
      <c r="AP8" s="4" t="s">
        <v>50</v>
      </c>
      <c r="AQ8" s="4" t="s">
        <v>63</v>
      </c>
      <c r="AR8" s="4" t="s">
        <v>64</v>
      </c>
    </row>
    <row r="9" spans="2:45" ht="39.75" customHeight="1" thickBot="1" thickTop="1">
      <c r="B9" s="84" t="s">
        <v>69</v>
      </c>
      <c r="C9" s="85">
        <v>840</v>
      </c>
      <c r="D9" s="85">
        <v>279</v>
      </c>
      <c r="E9" s="85">
        <v>123</v>
      </c>
      <c r="F9" s="85">
        <v>8</v>
      </c>
      <c r="G9" s="85">
        <v>0</v>
      </c>
      <c r="H9" s="85">
        <v>5</v>
      </c>
      <c r="I9" s="85">
        <v>6</v>
      </c>
      <c r="J9" s="85">
        <v>1</v>
      </c>
      <c r="K9" s="85">
        <v>4</v>
      </c>
      <c r="L9" s="85">
        <v>6</v>
      </c>
      <c r="M9" s="85">
        <v>3</v>
      </c>
      <c r="N9" s="85">
        <f>33442+2148</f>
        <v>35590</v>
      </c>
      <c r="O9" s="85">
        <f>195+3687</f>
        <v>3882</v>
      </c>
      <c r="P9" s="85">
        <f>136+1900</f>
        <v>2036</v>
      </c>
      <c r="Q9" s="85">
        <f>194</f>
        <v>194</v>
      </c>
      <c r="R9" s="85">
        <f>28+238</f>
        <v>266</v>
      </c>
      <c r="S9" s="85">
        <f>76+481</f>
        <v>557</v>
      </c>
      <c r="T9" s="85">
        <f>69+1768</f>
        <v>1837</v>
      </c>
      <c r="U9" s="85">
        <f>25+236</f>
        <v>261</v>
      </c>
      <c r="V9" s="86">
        <v>715</v>
      </c>
      <c r="W9" s="85">
        <v>3</v>
      </c>
      <c r="X9" s="85">
        <v>107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1</v>
      </c>
      <c r="AE9" s="87">
        <v>0</v>
      </c>
      <c r="AF9" s="85">
        <v>0</v>
      </c>
      <c r="AG9" s="85">
        <v>0</v>
      </c>
      <c r="AH9" s="85">
        <v>147</v>
      </c>
      <c r="AI9" s="85">
        <v>11</v>
      </c>
      <c r="AJ9" s="85">
        <v>4456</v>
      </c>
      <c r="AK9" s="85">
        <v>0</v>
      </c>
      <c r="AL9" s="85">
        <v>7</v>
      </c>
      <c r="AM9" s="85">
        <v>6</v>
      </c>
      <c r="AN9" s="85">
        <v>4</v>
      </c>
      <c r="AO9" s="85">
        <v>0</v>
      </c>
      <c r="AP9" s="85">
        <v>61</v>
      </c>
      <c r="AQ9" s="85">
        <v>5</v>
      </c>
      <c r="AR9" s="87">
        <v>0</v>
      </c>
      <c r="AS9" s="56"/>
    </row>
    <row r="10" spans="2:45" ht="39.75" customHeight="1" thickBot="1" thickTop="1">
      <c r="B10" s="84" t="s">
        <v>70</v>
      </c>
      <c r="C10" s="57">
        <v>2124</v>
      </c>
      <c r="D10" s="57">
        <v>583</v>
      </c>
      <c r="E10" s="57">
        <v>331</v>
      </c>
      <c r="F10" s="57">
        <v>18</v>
      </c>
      <c r="G10" s="57">
        <v>1</v>
      </c>
      <c r="H10" s="57">
        <v>12</v>
      </c>
      <c r="I10" s="57">
        <v>18</v>
      </c>
      <c r="J10" s="57">
        <v>3</v>
      </c>
      <c r="K10" s="57">
        <v>7</v>
      </c>
      <c r="L10" s="57">
        <v>24</v>
      </c>
      <c r="M10" s="57">
        <v>8</v>
      </c>
      <c r="N10" s="57">
        <f>8775+97526</f>
        <v>106301</v>
      </c>
      <c r="O10" s="57">
        <f>256+5363</f>
        <v>5619</v>
      </c>
      <c r="P10" s="57">
        <f>662+5485</f>
        <v>6147</v>
      </c>
      <c r="Q10" s="57">
        <f>5+353</f>
        <v>358</v>
      </c>
      <c r="R10" s="57">
        <f>92+2758</f>
        <v>2850</v>
      </c>
      <c r="S10" s="57">
        <f>184+2740</f>
        <v>2924</v>
      </c>
      <c r="T10" s="57">
        <f>658+1861</f>
        <v>2519</v>
      </c>
      <c r="U10" s="57">
        <f>51+342</f>
        <v>393</v>
      </c>
      <c r="V10" s="57">
        <v>903</v>
      </c>
      <c r="W10" s="57">
        <v>44</v>
      </c>
      <c r="X10" s="57">
        <v>86</v>
      </c>
      <c r="Y10" s="57">
        <v>0</v>
      </c>
      <c r="Z10" s="57">
        <v>0</v>
      </c>
      <c r="AA10" s="57">
        <v>0</v>
      </c>
      <c r="AB10" s="57">
        <v>8</v>
      </c>
      <c r="AC10" s="57">
        <v>0</v>
      </c>
      <c r="AD10" s="88">
        <v>0</v>
      </c>
      <c r="AE10" s="57">
        <v>0</v>
      </c>
      <c r="AF10" s="57">
        <v>0</v>
      </c>
      <c r="AG10" s="57">
        <v>0</v>
      </c>
      <c r="AH10" s="57">
        <v>97</v>
      </c>
      <c r="AI10" s="57">
        <v>17</v>
      </c>
      <c r="AJ10" s="57">
        <v>2746</v>
      </c>
      <c r="AK10" s="57">
        <v>63</v>
      </c>
      <c r="AL10" s="57">
        <v>110</v>
      </c>
      <c r="AM10" s="57">
        <v>19</v>
      </c>
      <c r="AN10" s="57">
        <v>0</v>
      </c>
      <c r="AO10" s="57">
        <v>12</v>
      </c>
      <c r="AP10" s="57">
        <v>87</v>
      </c>
      <c r="AQ10" s="57">
        <v>0</v>
      </c>
      <c r="AR10" s="89">
        <v>0</v>
      </c>
      <c r="AS10" s="56"/>
    </row>
    <row r="11" spans="2:44" ht="45" customHeight="1" thickBot="1" thickTop="1">
      <c r="B11" s="84" t="s">
        <v>71</v>
      </c>
      <c r="C11" s="57">
        <v>689</v>
      </c>
      <c r="D11" s="57">
        <v>135</v>
      </c>
      <c r="E11" s="57">
        <v>76</v>
      </c>
      <c r="F11" s="57">
        <v>9</v>
      </c>
      <c r="G11" s="57">
        <v>2</v>
      </c>
      <c r="H11" s="57">
        <v>5</v>
      </c>
      <c r="I11" s="57">
        <v>16</v>
      </c>
      <c r="J11" s="57">
        <v>0</v>
      </c>
      <c r="K11" s="57">
        <v>2</v>
      </c>
      <c r="L11" s="57">
        <v>0</v>
      </c>
      <c r="M11" s="57">
        <v>0</v>
      </c>
      <c r="N11" s="57">
        <f>1001+16198</f>
        <v>17199</v>
      </c>
      <c r="O11" s="57">
        <f>218+9233</f>
        <v>9451</v>
      </c>
      <c r="P11" s="57">
        <f>15+499</f>
        <v>514</v>
      </c>
      <c r="Q11" s="57">
        <f>206</f>
        <v>206</v>
      </c>
      <c r="R11" s="57">
        <f>6+140</f>
        <v>146</v>
      </c>
      <c r="S11" s="57">
        <f>29+489</f>
        <v>518</v>
      </c>
      <c r="T11" s="57">
        <f>60</f>
        <v>60</v>
      </c>
      <c r="U11" s="57">
        <v>0</v>
      </c>
      <c r="V11" s="57">
        <v>10468</v>
      </c>
      <c r="W11" s="57">
        <v>237</v>
      </c>
      <c r="X11" s="57">
        <v>660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88">
        <v>0</v>
      </c>
      <c r="AE11" s="57">
        <v>0</v>
      </c>
      <c r="AF11" s="57">
        <v>0</v>
      </c>
      <c r="AG11" s="57">
        <v>0</v>
      </c>
      <c r="AH11" s="57">
        <v>1</v>
      </c>
      <c r="AI11" s="57">
        <v>1</v>
      </c>
      <c r="AJ11" s="57">
        <v>3</v>
      </c>
      <c r="AK11" s="57">
        <v>0</v>
      </c>
      <c r="AL11" s="57">
        <v>0</v>
      </c>
      <c r="AM11" s="57">
        <v>0</v>
      </c>
      <c r="AN11" s="57">
        <v>0</v>
      </c>
      <c r="AO11" s="57">
        <v>1</v>
      </c>
      <c r="AP11" s="57">
        <v>0</v>
      </c>
      <c r="AQ11" s="57">
        <v>0</v>
      </c>
      <c r="AR11" s="89">
        <v>0</v>
      </c>
    </row>
    <row r="12" spans="2:45" ht="45" customHeight="1" thickBot="1" thickTop="1">
      <c r="B12" s="84" t="s">
        <v>72</v>
      </c>
      <c r="C12" s="57">
        <v>20</v>
      </c>
      <c r="D12" s="57">
        <v>3</v>
      </c>
      <c r="E12" s="57">
        <v>0</v>
      </c>
      <c r="F12" s="57">
        <v>2</v>
      </c>
      <c r="G12" s="57">
        <v>0</v>
      </c>
      <c r="H12" s="57">
        <v>0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f>93</f>
        <v>93</v>
      </c>
      <c r="O12" s="57">
        <v>50</v>
      </c>
      <c r="P12" s="57">
        <v>12</v>
      </c>
      <c r="Q12" s="57">
        <v>12</v>
      </c>
      <c r="R12" s="57">
        <v>0</v>
      </c>
      <c r="S12" s="57">
        <v>12</v>
      </c>
      <c r="T12" s="57">
        <v>0</v>
      </c>
      <c r="U12" s="57">
        <v>0</v>
      </c>
      <c r="V12" s="57">
        <v>297</v>
      </c>
      <c r="W12" s="57">
        <v>0</v>
      </c>
      <c r="X12" s="57">
        <v>15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89">
        <v>0</v>
      </c>
      <c r="AS12" s="90"/>
    </row>
    <row r="13" spans="2:45" ht="52.5" customHeight="1" thickBot="1" thickTop="1">
      <c r="B13" s="84" t="s">
        <v>73</v>
      </c>
      <c r="C13" s="57">
        <v>7</v>
      </c>
      <c r="D13" s="57">
        <v>1</v>
      </c>
      <c r="E13" s="57">
        <v>1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40</v>
      </c>
      <c r="O13" s="57">
        <v>40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164</v>
      </c>
      <c r="W13" s="57">
        <v>0</v>
      </c>
      <c r="X13" s="57">
        <v>30</v>
      </c>
      <c r="Y13" s="57">
        <v>0</v>
      </c>
      <c r="Z13" s="57">
        <v>30</v>
      </c>
      <c r="AA13" s="57">
        <v>0</v>
      </c>
      <c r="AB13" s="57">
        <v>30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89">
        <v>0</v>
      </c>
      <c r="AS13" s="90"/>
    </row>
    <row r="14" spans="2:44" ht="39.75" customHeight="1" thickBot="1" thickTop="1">
      <c r="B14" s="84" t="s">
        <v>74</v>
      </c>
      <c r="C14" s="57">
        <v>268</v>
      </c>
      <c r="D14" s="57">
        <v>72</v>
      </c>
      <c r="E14" s="57">
        <v>44</v>
      </c>
      <c r="F14" s="57">
        <v>8</v>
      </c>
      <c r="G14" s="57">
        <v>2</v>
      </c>
      <c r="H14" s="57">
        <v>5</v>
      </c>
      <c r="I14" s="57">
        <v>2</v>
      </c>
      <c r="J14" s="57">
        <v>0</v>
      </c>
      <c r="K14" s="57">
        <v>0</v>
      </c>
      <c r="L14" s="57">
        <v>0</v>
      </c>
      <c r="M14" s="57">
        <v>0</v>
      </c>
      <c r="N14" s="57">
        <f>1345+58</f>
        <v>1403</v>
      </c>
      <c r="O14" s="57">
        <f>308+18</f>
        <v>326</v>
      </c>
      <c r="P14" s="57">
        <f>167+14</f>
        <v>181</v>
      </c>
      <c r="Q14" s="57">
        <f>5</f>
        <v>5</v>
      </c>
      <c r="R14" s="57">
        <v>60</v>
      </c>
      <c r="S14" s="57">
        <v>27</v>
      </c>
      <c r="T14" s="57">
        <v>46</v>
      </c>
      <c r="U14" s="57">
        <f>54+14</f>
        <v>68</v>
      </c>
      <c r="V14" s="57">
        <f>7206+5</f>
        <v>7211</v>
      </c>
      <c r="W14" s="57">
        <v>325</v>
      </c>
      <c r="X14" s="57">
        <v>536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1</v>
      </c>
      <c r="AI14" s="57">
        <v>0</v>
      </c>
      <c r="AJ14" s="57">
        <v>10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83</v>
      </c>
      <c r="AQ14" s="57">
        <v>80</v>
      </c>
      <c r="AR14" s="89">
        <v>0</v>
      </c>
    </row>
    <row r="15" spans="2:45" ht="45" customHeight="1" thickBot="1" thickTop="1">
      <c r="B15" s="84" t="s">
        <v>75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89">
        <v>0</v>
      </c>
      <c r="AS15" s="90"/>
    </row>
    <row r="16" spans="2:44" ht="39.75" customHeight="1" thickBot="1" thickTop="1">
      <c r="B16" s="84" t="s">
        <v>76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91">
        <v>0</v>
      </c>
    </row>
    <row r="17" spans="2:80" ht="39.75" customHeight="1" thickBot="1" thickTop="1">
      <c r="B17" s="92" t="s">
        <v>3</v>
      </c>
      <c r="C17" s="93">
        <f>SUM(C9:C16)</f>
        <v>3948</v>
      </c>
      <c r="D17" s="94">
        <f>SUM(D9:D16)</f>
        <v>1073</v>
      </c>
      <c r="E17" s="94">
        <f>SUM(E9:E16)</f>
        <v>575</v>
      </c>
      <c r="F17" s="94">
        <f aca="true" t="shared" si="0" ref="F17:K17">SUM(F9:F16)</f>
        <v>45</v>
      </c>
      <c r="G17" s="94">
        <f t="shared" si="0"/>
        <v>5</v>
      </c>
      <c r="H17" s="94">
        <f t="shared" si="0"/>
        <v>27</v>
      </c>
      <c r="I17" s="94">
        <f t="shared" si="0"/>
        <v>43</v>
      </c>
      <c r="J17" s="94">
        <f t="shared" si="0"/>
        <v>4</v>
      </c>
      <c r="K17" s="94">
        <f t="shared" si="0"/>
        <v>13</v>
      </c>
      <c r="L17" s="94">
        <f aca="true" t="shared" si="1" ref="L17:X17">SUM(L9:L16)</f>
        <v>30</v>
      </c>
      <c r="M17" s="94">
        <f t="shared" si="1"/>
        <v>11</v>
      </c>
      <c r="N17" s="94">
        <f>SUM(N9:N16)</f>
        <v>160626</v>
      </c>
      <c r="O17" s="94">
        <f t="shared" si="1"/>
        <v>19368</v>
      </c>
      <c r="P17" s="94">
        <f t="shared" si="1"/>
        <v>8890</v>
      </c>
      <c r="Q17" s="94">
        <f t="shared" si="1"/>
        <v>775</v>
      </c>
      <c r="R17" s="94">
        <f t="shared" si="1"/>
        <v>3322</v>
      </c>
      <c r="S17" s="94">
        <f t="shared" si="1"/>
        <v>4038</v>
      </c>
      <c r="T17" s="94">
        <f t="shared" si="1"/>
        <v>4462</v>
      </c>
      <c r="U17" s="94">
        <f t="shared" si="1"/>
        <v>722</v>
      </c>
      <c r="V17" s="94">
        <f t="shared" si="1"/>
        <v>19758</v>
      </c>
      <c r="W17" s="94">
        <f t="shared" si="1"/>
        <v>609</v>
      </c>
      <c r="X17" s="94">
        <f t="shared" si="1"/>
        <v>1434</v>
      </c>
      <c r="Y17" s="94">
        <f aca="true" t="shared" si="2" ref="Y17:AI17">SUM(Y9:Y16)</f>
        <v>0</v>
      </c>
      <c r="Z17" s="94">
        <f t="shared" si="2"/>
        <v>30</v>
      </c>
      <c r="AA17" s="94">
        <f t="shared" si="2"/>
        <v>0</v>
      </c>
      <c r="AB17" s="94">
        <f t="shared" si="2"/>
        <v>38</v>
      </c>
      <c r="AC17" s="94">
        <f t="shared" si="2"/>
        <v>0</v>
      </c>
      <c r="AD17" s="94">
        <f t="shared" si="2"/>
        <v>1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246</v>
      </c>
      <c r="AI17" s="94">
        <f t="shared" si="2"/>
        <v>29</v>
      </c>
      <c r="AJ17" s="94">
        <f aca="true" t="shared" si="3" ref="AJ17:AR17">SUM(AJ9:AJ16)</f>
        <v>7215</v>
      </c>
      <c r="AK17" s="94">
        <f t="shared" si="3"/>
        <v>63</v>
      </c>
      <c r="AL17" s="94">
        <f t="shared" si="3"/>
        <v>117</v>
      </c>
      <c r="AM17" s="94">
        <f t="shared" si="3"/>
        <v>25</v>
      </c>
      <c r="AN17" s="94">
        <f t="shared" si="3"/>
        <v>4</v>
      </c>
      <c r="AO17" s="94">
        <f t="shared" si="3"/>
        <v>13</v>
      </c>
      <c r="AP17" s="94">
        <f t="shared" si="3"/>
        <v>231</v>
      </c>
      <c r="AQ17" s="94">
        <f t="shared" si="3"/>
        <v>85</v>
      </c>
      <c r="AR17" s="95">
        <f t="shared" si="3"/>
        <v>0</v>
      </c>
      <c r="AS17" s="5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100" customFormat="1" ht="13.5" thickTop="1">
      <c r="A18" s="96"/>
      <c r="B18" s="96"/>
      <c r="C18" s="9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98"/>
      <c r="P18" s="98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9"/>
      <c r="AK18" s="97"/>
      <c r="AL18" s="97"/>
      <c r="AM18" s="99"/>
      <c r="AN18" s="96"/>
      <c r="AO18" s="96"/>
      <c r="AP18" s="96"/>
      <c r="AQ18" s="98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</row>
    <row r="19" ht="18">
      <c r="B19" s="101" t="s">
        <v>77</v>
      </c>
    </row>
    <row r="21" ht="15.75">
      <c r="B21" s="102" t="s">
        <v>9</v>
      </c>
    </row>
    <row r="22" spans="2:19" ht="14.25">
      <c r="B22" s="5" t="s">
        <v>11</v>
      </c>
      <c r="C22" s="5"/>
      <c r="D22" s="5"/>
      <c r="E22" s="5"/>
      <c r="F22" s="5"/>
      <c r="G22" s="5"/>
      <c r="H22" s="5"/>
      <c r="I22" s="5"/>
      <c r="J22" s="5"/>
      <c r="K22" s="5"/>
      <c r="L22" s="5" t="s">
        <v>14</v>
      </c>
      <c r="M22" s="5"/>
      <c r="N22" s="5"/>
      <c r="O22" s="5"/>
      <c r="P22" s="5"/>
      <c r="Q22" s="5"/>
      <c r="R22" s="5"/>
      <c r="S22" s="5"/>
    </row>
    <row r="23" spans="2:19" ht="14.25">
      <c r="B23" s="5" t="s">
        <v>10</v>
      </c>
      <c r="C23" s="5"/>
      <c r="D23" s="5"/>
      <c r="E23" s="5"/>
      <c r="F23" s="5"/>
      <c r="G23" s="5"/>
      <c r="H23" s="5"/>
      <c r="I23" s="5"/>
      <c r="J23" s="5"/>
      <c r="K23" s="5"/>
      <c r="L23" s="5" t="s">
        <v>12</v>
      </c>
      <c r="M23" s="5"/>
      <c r="N23" s="5"/>
      <c r="O23" s="5"/>
      <c r="P23" s="5"/>
      <c r="Q23" s="5"/>
      <c r="R23" s="5"/>
      <c r="S23" s="5"/>
    </row>
    <row r="24" spans="2:12" ht="14.25">
      <c r="B24" s="5" t="s">
        <v>13</v>
      </c>
      <c r="C24" s="5"/>
      <c r="D24" s="5"/>
      <c r="E24" s="5"/>
      <c r="F24" s="5"/>
      <c r="G24" s="5"/>
      <c r="H24" s="5"/>
      <c r="I24" s="5"/>
      <c r="J24" s="5"/>
      <c r="K24" s="5"/>
      <c r="L24" s="5" t="s">
        <v>22</v>
      </c>
    </row>
    <row r="25" spans="2:19" ht="14.25">
      <c r="B25" s="5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 t="s">
        <v>20</v>
      </c>
      <c r="M25" s="5"/>
      <c r="N25" s="5"/>
      <c r="O25" s="5"/>
      <c r="P25" s="5"/>
      <c r="Q25" s="5"/>
      <c r="R25" s="5"/>
      <c r="S25" s="5"/>
    </row>
  </sheetData>
  <mergeCells count="14">
    <mergeCell ref="C7:C8"/>
    <mergeCell ref="D7:D8"/>
    <mergeCell ref="F7:H7"/>
    <mergeCell ref="E7:E8"/>
    <mergeCell ref="B2:AR2"/>
    <mergeCell ref="AD7:AG7"/>
    <mergeCell ref="AH7:AO7"/>
    <mergeCell ref="AP7:AR7"/>
    <mergeCell ref="B3:AR3"/>
    <mergeCell ref="I7:M7"/>
    <mergeCell ref="Y7:AC7"/>
    <mergeCell ref="B7:B8"/>
    <mergeCell ref="V7:X7"/>
    <mergeCell ref="N7:U7"/>
  </mergeCells>
  <printOptions horizontalCentered="1" verticalCentered="1"/>
  <pageMargins left="0.15748031496062992" right="0" top="0.5905511811023623" bottom="0.5905511811023623" header="0.5118110236220472" footer="0.5118110236220472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7"/>
  <sheetViews>
    <sheetView zoomScale="75" zoomScaleNormal="75" workbookViewId="0" topLeftCell="A1">
      <selection activeCell="S6" sqref="S6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9.25390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6.2539062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5.125" style="0" customWidth="1"/>
    <col min="43" max="43" width="5.00390625" style="0" customWidth="1"/>
    <col min="44" max="44" width="5.75390625" style="0" customWidth="1"/>
  </cols>
  <sheetData>
    <row r="3" spans="1:44" ht="20.25">
      <c r="A3" s="67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1:44" ht="18">
      <c r="A4" s="103" t="s">
        <v>79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3:44" ht="12.75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9:27" ht="12.75">
      <c r="S6" s="81"/>
      <c r="T6" s="81"/>
      <c r="U6" s="81"/>
      <c r="V6" s="81"/>
      <c r="W6" s="81"/>
      <c r="X6" s="81"/>
      <c r="Y6" s="81"/>
      <c r="Z6" s="81"/>
      <c r="AA6" s="81"/>
    </row>
    <row r="7" spans="6:44" ht="14.25" customHeight="1" thickBot="1"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ht="24" customHeight="1" thickBot="1" thickTop="1">
      <c r="A8" s="104"/>
      <c r="B8" s="105"/>
      <c r="C8" s="74" t="s">
        <v>1</v>
      </c>
      <c r="D8" s="76" t="s">
        <v>2</v>
      </c>
      <c r="E8" s="76" t="s">
        <v>35</v>
      </c>
      <c r="F8" s="70" t="s">
        <v>23</v>
      </c>
      <c r="G8" s="65"/>
      <c r="H8" s="66"/>
      <c r="I8" s="64" t="s">
        <v>5</v>
      </c>
      <c r="J8" s="70"/>
      <c r="K8" s="70"/>
      <c r="L8" s="70"/>
      <c r="M8" s="106"/>
      <c r="N8" s="107" t="s">
        <v>80</v>
      </c>
      <c r="O8" s="60"/>
      <c r="P8" s="60"/>
      <c r="Q8" s="60"/>
      <c r="R8" s="60"/>
      <c r="S8" s="60"/>
      <c r="T8" s="60"/>
      <c r="U8" s="61"/>
      <c r="V8" s="62" t="s">
        <v>6</v>
      </c>
      <c r="W8" s="63"/>
      <c r="X8" s="63"/>
      <c r="Y8" s="58" t="s">
        <v>34</v>
      </c>
      <c r="Z8" s="58"/>
      <c r="AA8" s="58"/>
      <c r="AB8" s="58"/>
      <c r="AC8" s="58"/>
      <c r="AD8" s="58" t="s">
        <v>7</v>
      </c>
      <c r="AE8" s="58"/>
      <c r="AF8" s="58"/>
      <c r="AG8" s="62"/>
      <c r="AH8" s="62" t="s">
        <v>36</v>
      </c>
      <c r="AI8" s="63"/>
      <c r="AJ8" s="63"/>
      <c r="AK8" s="63"/>
      <c r="AL8" s="63"/>
      <c r="AM8" s="63"/>
      <c r="AN8" s="63"/>
      <c r="AO8" s="108"/>
      <c r="AP8" s="108" t="s">
        <v>8</v>
      </c>
      <c r="AQ8" s="58"/>
      <c r="AR8" s="58"/>
    </row>
    <row r="9" spans="1:44" ht="129" customHeight="1" thickBot="1" thickTop="1">
      <c r="A9" s="109"/>
      <c r="B9" s="110"/>
      <c r="C9" s="75"/>
      <c r="D9" s="77"/>
      <c r="E9" s="77"/>
      <c r="F9" s="7" t="s">
        <v>38</v>
      </c>
      <c r="G9" s="7" t="s">
        <v>39</v>
      </c>
      <c r="H9" s="7" t="s">
        <v>40</v>
      </c>
      <c r="I9" s="1" t="s">
        <v>81</v>
      </c>
      <c r="J9" s="1" t="s">
        <v>15</v>
      </c>
      <c r="K9" s="1" t="s">
        <v>16</v>
      </c>
      <c r="L9" s="1" t="s">
        <v>4</v>
      </c>
      <c r="M9" s="7" t="s">
        <v>17</v>
      </c>
      <c r="N9" s="111" t="s">
        <v>82</v>
      </c>
      <c r="O9" s="1" t="s">
        <v>83</v>
      </c>
      <c r="P9" s="1" t="s">
        <v>32</v>
      </c>
      <c r="Q9" s="1" t="s">
        <v>83</v>
      </c>
      <c r="R9" s="1" t="s">
        <v>84</v>
      </c>
      <c r="S9" s="1" t="s">
        <v>18</v>
      </c>
      <c r="T9" s="1" t="s">
        <v>85</v>
      </c>
      <c r="U9" s="2" t="s">
        <v>19</v>
      </c>
      <c r="V9" s="3" t="s">
        <v>86</v>
      </c>
      <c r="W9" s="3" t="s">
        <v>87</v>
      </c>
      <c r="X9" s="3" t="s">
        <v>88</v>
      </c>
      <c r="Y9" s="112" t="s">
        <v>89</v>
      </c>
      <c r="Z9" s="3" t="s">
        <v>90</v>
      </c>
      <c r="AA9" s="3" t="s">
        <v>91</v>
      </c>
      <c r="AB9" s="3" t="s">
        <v>92</v>
      </c>
      <c r="AC9" s="42" t="s">
        <v>93</v>
      </c>
      <c r="AD9" s="113" t="s">
        <v>94</v>
      </c>
      <c r="AE9" s="3" t="s">
        <v>95</v>
      </c>
      <c r="AF9" s="3" t="s">
        <v>96</v>
      </c>
      <c r="AG9" s="114" t="s">
        <v>97</v>
      </c>
      <c r="AH9" s="4" t="s">
        <v>98</v>
      </c>
      <c r="AI9" s="3" t="s">
        <v>99</v>
      </c>
      <c r="AJ9" s="3" t="s">
        <v>100</v>
      </c>
      <c r="AK9" s="3" t="s">
        <v>84</v>
      </c>
      <c r="AL9" s="3" t="s">
        <v>101</v>
      </c>
      <c r="AM9" s="3" t="s">
        <v>85</v>
      </c>
      <c r="AN9" s="3" t="s">
        <v>102</v>
      </c>
      <c r="AO9" s="3" t="s">
        <v>103</v>
      </c>
      <c r="AP9" s="115" t="s">
        <v>104</v>
      </c>
      <c r="AQ9" s="116" t="s">
        <v>105</v>
      </c>
      <c r="AR9" s="116" t="s">
        <v>106</v>
      </c>
    </row>
    <row r="10" spans="1:44" ht="41.25" customHeight="1" thickBot="1" thickTop="1">
      <c r="A10" s="117" t="s">
        <v>107</v>
      </c>
      <c r="B10" s="118" t="s">
        <v>108</v>
      </c>
      <c r="C10" s="119">
        <v>289</v>
      </c>
      <c r="D10" s="85">
        <v>64</v>
      </c>
      <c r="E10" s="85">
        <v>28</v>
      </c>
      <c r="F10" s="85">
        <v>5</v>
      </c>
      <c r="G10" s="85">
        <v>0</v>
      </c>
      <c r="H10" s="85">
        <v>0</v>
      </c>
      <c r="I10" s="85">
        <v>0</v>
      </c>
      <c r="J10" s="85">
        <v>2</v>
      </c>
      <c r="K10" s="85">
        <v>4</v>
      </c>
      <c r="L10" s="85">
        <v>4</v>
      </c>
      <c r="M10" s="85">
        <v>0</v>
      </c>
      <c r="N10" s="120">
        <f>7582+9199</f>
        <v>16781</v>
      </c>
      <c r="O10" s="85">
        <f>132+567</f>
        <v>699</v>
      </c>
      <c r="P10" s="85">
        <f>85+112</f>
        <v>197</v>
      </c>
      <c r="Q10" s="85">
        <f>2</f>
        <v>2</v>
      </c>
      <c r="R10" s="85">
        <f>29+19</f>
        <v>48</v>
      </c>
      <c r="S10" s="85">
        <f>20+66</f>
        <v>86</v>
      </c>
      <c r="T10" s="85">
        <f>140+59</f>
        <v>199</v>
      </c>
      <c r="U10" s="85">
        <f>8+32</f>
        <v>40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189</v>
      </c>
      <c r="AI10" s="85">
        <v>19</v>
      </c>
      <c r="AJ10" s="85">
        <v>5885</v>
      </c>
      <c r="AK10" s="85">
        <v>58</v>
      </c>
      <c r="AL10" s="85">
        <v>35</v>
      </c>
      <c r="AM10" s="85">
        <v>6</v>
      </c>
      <c r="AN10" s="85">
        <v>3</v>
      </c>
      <c r="AO10" s="85"/>
      <c r="AP10" s="121">
        <v>68</v>
      </c>
      <c r="AQ10" s="85">
        <v>0</v>
      </c>
      <c r="AR10" s="122">
        <v>0</v>
      </c>
    </row>
    <row r="11" spans="1:44" s="33" customFormat="1" ht="41.25" customHeight="1" thickBot="1" thickTop="1">
      <c r="A11" s="123"/>
      <c r="B11" s="118" t="s">
        <v>109</v>
      </c>
      <c r="C11" s="124">
        <v>2019</v>
      </c>
      <c r="D11" s="125">
        <v>597</v>
      </c>
      <c r="E11" s="125">
        <v>313</v>
      </c>
      <c r="F11" s="125">
        <v>15</v>
      </c>
      <c r="G11" s="125">
        <v>3</v>
      </c>
      <c r="H11" s="125">
        <v>15</v>
      </c>
      <c r="I11" s="125">
        <v>25</v>
      </c>
      <c r="J11" s="125">
        <v>2</v>
      </c>
      <c r="K11" s="125">
        <v>4</v>
      </c>
      <c r="L11" s="125">
        <v>18</v>
      </c>
      <c r="M11" s="125">
        <v>4</v>
      </c>
      <c r="N11" s="125">
        <f>63269+27067+25+130</f>
        <v>90491</v>
      </c>
      <c r="O11" s="125">
        <f>4116+6532+30</f>
        <v>10678</v>
      </c>
      <c r="P11" s="125">
        <f>3417+1627+15</f>
        <v>5059</v>
      </c>
      <c r="Q11" s="125">
        <f>305+109+15</f>
        <v>429</v>
      </c>
      <c r="R11" s="125">
        <f>995+196</f>
        <v>1191</v>
      </c>
      <c r="S11" s="125">
        <f>2094+612+15</f>
        <v>2721</v>
      </c>
      <c r="T11" s="125">
        <f>5+1909+1492</f>
        <v>3406</v>
      </c>
      <c r="U11" s="125">
        <f>337+144</f>
        <v>481</v>
      </c>
      <c r="V11" s="125">
        <f>741+18</f>
        <v>759</v>
      </c>
      <c r="W11" s="125">
        <f>45+18</f>
        <v>63</v>
      </c>
      <c r="X11" s="125">
        <v>61</v>
      </c>
      <c r="Y11" s="125">
        <v>0</v>
      </c>
      <c r="Z11" s="125">
        <v>0</v>
      </c>
      <c r="AA11" s="125">
        <v>0</v>
      </c>
      <c r="AB11" s="125">
        <v>8</v>
      </c>
      <c r="AC11" s="125">
        <v>0</v>
      </c>
      <c r="AD11" s="125">
        <v>1</v>
      </c>
      <c r="AE11" s="125">
        <v>0</v>
      </c>
      <c r="AF11" s="125">
        <v>0</v>
      </c>
      <c r="AG11" s="125">
        <v>0</v>
      </c>
      <c r="AH11" s="125">
        <v>20</v>
      </c>
      <c r="AI11" s="125">
        <v>4</v>
      </c>
      <c r="AJ11" s="125">
        <v>540</v>
      </c>
      <c r="AK11" s="125">
        <v>0</v>
      </c>
      <c r="AL11" s="125">
        <v>30</v>
      </c>
      <c r="AM11" s="125">
        <v>11</v>
      </c>
      <c r="AN11" s="125">
        <v>0</v>
      </c>
      <c r="AO11" s="125">
        <v>11</v>
      </c>
      <c r="AP11" s="125">
        <v>36</v>
      </c>
      <c r="AQ11" s="125">
        <v>0</v>
      </c>
      <c r="AR11" s="126">
        <v>0</v>
      </c>
    </row>
    <row r="12" spans="1:44" ht="44.25" customHeight="1" thickBot="1" thickTop="1">
      <c r="A12" s="123"/>
      <c r="B12" s="118" t="s">
        <v>110</v>
      </c>
      <c r="C12" s="127">
        <v>928</v>
      </c>
      <c r="D12" s="57">
        <v>243</v>
      </c>
      <c r="E12" s="57">
        <v>131</v>
      </c>
      <c r="F12" s="57">
        <v>9</v>
      </c>
      <c r="G12" s="57">
        <v>0</v>
      </c>
      <c r="H12" s="57">
        <v>4</v>
      </c>
      <c r="I12" s="57">
        <v>8</v>
      </c>
      <c r="J12" s="57">
        <v>0</v>
      </c>
      <c r="K12" s="57">
        <v>4</v>
      </c>
      <c r="L12" s="57">
        <v>7</v>
      </c>
      <c r="M12" s="57">
        <v>7</v>
      </c>
      <c r="N12" s="128">
        <f>35248+11241</f>
        <v>46489</v>
      </c>
      <c r="O12" s="57">
        <f>1382+3075</f>
        <v>4457</v>
      </c>
      <c r="P12" s="57">
        <f>2634+615</f>
        <v>3249</v>
      </c>
      <c r="Q12" s="57">
        <f>52+195</f>
        <v>247</v>
      </c>
      <c r="R12" s="57">
        <f>1816+109</f>
        <v>1925</v>
      </c>
      <c r="S12" s="57">
        <f>829+253</f>
        <v>1082</v>
      </c>
      <c r="T12" s="57">
        <f>470+331</f>
        <v>801</v>
      </c>
      <c r="U12" s="57">
        <f>60+87</f>
        <v>147</v>
      </c>
      <c r="V12" s="57">
        <v>140</v>
      </c>
      <c r="W12" s="57">
        <v>0</v>
      </c>
      <c r="X12" s="57">
        <v>2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37</v>
      </c>
      <c r="AI12" s="57">
        <v>6</v>
      </c>
      <c r="AJ12" s="57">
        <v>787</v>
      </c>
      <c r="AK12" s="57">
        <v>5</v>
      </c>
      <c r="AL12" s="57">
        <v>52</v>
      </c>
      <c r="AM12" s="57">
        <v>8</v>
      </c>
      <c r="AN12" s="57">
        <v>1</v>
      </c>
      <c r="AO12" s="57">
        <v>2</v>
      </c>
      <c r="AP12" s="57">
        <v>44</v>
      </c>
      <c r="AQ12" s="57">
        <v>5</v>
      </c>
      <c r="AR12" s="89">
        <v>0</v>
      </c>
    </row>
    <row r="13" spans="1:45" ht="36.75" customHeight="1" thickBot="1" thickTop="1">
      <c r="A13" s="123"/>
      <c r="B13" s="118" t="s">
        <v>111</v>
      </c>
      <c r="C13" s="127">
        <v>48</v>
      </c>
      <c r="D13" s="57">
        <v>12</v>
      </c>
      <c r="E13" s="57">
        <v>9</v>
      </c>
      <c r="F13" s="57">
        <v>3</v>
      </c>
      <c r="G13" s="57">
        <v>0</v>
      </c>
      <c r="H13" s="57">
        <v>1</v>
      </c>
      <c r="I13" s="57">
        <v>2</v>
      </c>
      <c r="J13" s="57">
        <v>0</v>
      </c>
      <c r="K13" s="57">
        <v>0</v>
      </c>
      <c r="L13" s="57">
        <v>1</v>
      </c>
      <c r="M13" s="57">
        <v>0</v>
      </c>
      <c r="N13" s="57">
        <f>1039+218</f>
        <v>1257</v>
      </c>
      <c r="O13" s="57">
        <f>117+45</f>
        <v>162</v>
      </c>
      <c r="P13" s="57">
        <f>14+31</f>
        <v>45</v>
      </c>
      <c r="Q13" s="57">
        <v>11</v>
      </c>
      <c r="R13" s="57">
        <v>33</v>
      </c>
      <c r="S13" s="57">
        <v>11</v>
      </c>
      <c r="T13" s="57">
        <v>0</v>
      </c>
      <c r="U13" s="57">
        <v>12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89">
        <v>0</v>
      </c>
      <c r="AS13" s="90"/>
    </row>
    <row r="14" spans="1:44" ht="33.75" customHeight="1" thickBot="1" thickTop="1">
      <c r="A14" s="123"/>
      <c r="B14" s="118" t="s">
        <v>112</v>
      </c>
      <c r="C14" s="127">
        <v>1</v>
      </c>
      <c r="D14" s="57">
        <v>1</v>
      </c>
      <c r="E14" s="57">
        <v>0</v>
      </c>
      <c r="F14" s="57">
        <v>1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4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89">
        <v>0</v>
      </c>
    </row>
    <row r="15" spans="1:44" ht="37.5" customHeight="1" thickBot="1" thickTop="1">
      <c r="A15" s="123"/>
      <c r="B15" s="118" t="s">
        <v>113</v>
      </c>
      <c r="C15" s="12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89">
        <v>0</v>
      </c>
    </row>
    <row r="16" spans="1:44" ht="35.25" customHeight="1" thickBot="1" thickTop="1">
      <c r="A16" s="129"/>
      <c r="B16" s="118" t="s">
        <v>114</v>
      </c>
      <c r="C16" s="127">
        <v>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80</v>
      </c>
      <c r="O16" s="57">
        <v>80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89">
        <v>0</v>
      </c>
    </row>
    <row r="17" spans="1:44" ht="37.5" customHeight="1" thickBot="1" thickTop="1">
      <c r="A17" s="130" t="s">
        <v>74</v>
      </c>
      <c r="B17" s="131" t="s">
        <v>109</v>
      </c>
      <c r="C17" s="127">
        <v>471</v>
      </c>
      <c r="D17" s="57">
        <v>114</v>
      </c>
      <c r="E17" s="57">
        <v>75</v>
      </c>
      <c r="F17" s="57">
        <v>8</v>
      </c>
      <c r="G17" s="57">
        <v>1</v>
      </c>
      <c r="H17" s="57">
        <v>5</v>
      </c>
      <c r="I17" s="57">
        <v>6</v>
      </c>
      <c r="J17" s="57">
        <v>0</v>
      </c>
      <c r="K17" s="57">
        <v>0</v>
      </c>
      <c r="L17" s="57">
        <v>0</v>
      </c>
      <c r="M17" s="57">
        <v>0</v>
      </c>
      <c r="N17" s="57">
        <f>1273+2183</f>
        <v>3456</v>
      </c>
      <c r="O17" s="57">
        <f>404+1288</f>
        <v>1692</v>
      </c>
      <c r="P17" s="57">
        <f>153+80</f>
        <v>233</v>
      </c>
      <c r="Q17" s="57">
        <v>19</v>
      </c>
      <c r="R17" s="57">
        <v>52</v>
      </c>
      <c r="S17" s="57">
        <f>29+71</f>
        <v>100</v>
      </c>
      <c r="T17" s="57">
        <v>54</v>
      </c>
      <c r="U17" s="57">
        <v>42</v>
      </c>
      <c r="V17" s="57">
        <v>12909</v>
      </c>
      <c r="W17" s="57">
        <v>523</v>
      </c>
      <c r="X17" s="57">
        <v>850</v>
      </c>
      <c r="Y17" s="57">
        <v>0</v>
      </c>
      <c r="Z17" s="57">
        <v>30</v>
      </c>
      <c r="AA17" s="57">
        <v>0</v>
      </c>
      <c r="AB17" s="57">
        <v>30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3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3</v>
      </c>
      <c r="AQ17" s="57">
        <v>3</v>
      </c>
      <c r="AR17" s="89">
        <v>0</v>
      </c>
    </row>
    <row r="18" spans="1:44" ht="44.25" customHeight="1" thickBot="1" thickTop="1">
      <c r="A18" s="132"/>
      <c r="B18" s="131" t="s">
        <v>110</v>
      </c>
      <c r="C18" s="127">
        <v>190</v>
      </c>
      <c r="D18" s="57">
        <v>42</v>
      </c>
      <c r="E18" s="57">
        <v>19</v>
      </c>
      <c r="F18" s="57">
        <v>4</v>
      </c>
      <c r="G18" s="57">
        <v>1</v>
      </c>
      <c r="H18" s="57">
        <v>2</v>
      </c>
      <c r="I18" s="57">
        <v>2</v>
      </c>
      <c r="J18" s="57">
        <v>0</v>
      </c>
      <c r="K18" s="57">
        <v>1</v>
      </c>
      <c r="L18" s="57">
        <v>0</v>
      </c>
      <c r="M18" s="57">
        <v>0</v>
      </c>
      <c r="N18" s="57">
        <f>252+1816</f>
        <v>2068</v>
      </c>
      <c r="O18" s="57">
        <f>34+1566</f>
        <v>1600</v>
      </c>
      <c r="P18" s="57">
        <f>26+81</f>
        <v>107</v>
      </c>
      <c r="Q18" s="57">
        <v>67</v>
      </c>
      <c r="R18" s="57">
        <f>23+50</f>
        <v>73</v>
      </c>
      <c r="S18" s="57">
        <v>38</v>
      </c>
      <c r="T18" s="57">
        <v>2</v>
      </c>
      <c r="U18" s="57">
        <v>0</v>
      </c>
      <c r="V18" s="57">
        <v>5950</v>
      </c>
      <c r="W18" s="57">
        <v>23</v>
      </c>
      <c r="X18" s="57">
        <v>521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80</v>
      </c>
      <c r="AQ18" s="57">
        <v>77</v>
      </c>
      <c r="AR18" s="89">
        <v>0</v>
      </c>
    </row>
    <row r="19" spans="1:44" ht="53.25" customHeight="1" thickBot="1" thickTop="1">
      <c r="A19" s="133" t="s">
        <v>115</v>
      </c>
      <c r="B19" s="134" t="s">
        <v>116</v>
      </c>
      <c r="C19" s="12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89">
        <v>0</v>
      </c>
    </row>
    <row r="20" spans="1:44" ht="70.5" customHeight="1" thickBot="1" thickTop="1">
      <c r="A20" s="135"/>
      <c r="B20" s="136" t="s">
        <v>117</v>
      </c>
      <c r="C20" s="137">
        <v>0</v>
      </c>
      <c r="D20" s="57">
        <v>0</v>
      </c>
      <c r="E20" s="57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139">
        <v>0</v>
      </c>
    </row>
    <row r="21" spans="2:44" ht="49.5" customHeight="1" thickBot="1" thickTop="1">
      <c r="B21" s="140" t="s">
        <v>118</v>
      </c>
      <c r="C21" s="141">
        <f aca="true" t="shared" si="0" ref="C21:X21">SUM(C10:C20)</f>
        <v>3948</v>
      </c>
      <c r="D21" s="142">
        <f t="shared" si="0"/>
        <v>1073</v>
      </c>
      <c r="E21" s="142">
        <f t="shared" si="0"/>
        <v>575</v>
      </c>
      <c r="F21" s="142">
        <f t="shared" si="0"/>
        <v>45</v>
      </c>
      <c r="G21" s="142">
        <f t="shared" si="0"/>
        <v>5</v>
      </c>
      <c r="H21" s="142">
        <f t="shared" si="0"/>
        <v>27</v>
      </c>
      <c r="I21" s="142">
        <f t="shared" si="0"/>
        <v>43</v>
      </c>
      <c r="J21" s="142">
        <f t="shared" si="0"/>
        <v>4</v>
      </c>
      <c r="K21" s="142">
        <f t="shared" si="0"/>
        <v>13</v>
      </c>
      <c r="L21" s="142">
        <f t="shared" si="0"/>
        <v>30</v>
      </c>
      <c r="M21" s="142">
        <f t="shared" si="0"/>
        <v>11</v>
      </c>
      <c r="N21" s="142">
        <f t="shared" si="0"/>
        <v>160626</v>
      </c>
      <c r="O21" s="142">
        <f t="shared" si="0"/>
        <v>19368</v>
      </c>
      <c r="P21" s="142">
        <f t="shared" si="0"/>
        <v>8890</v>
      </c>
      <c r="Q21" s="142">
        <f t="shared" si="0"/>
        <v>775</v>
      </c>
      <c r="R21" s="142">
        <f t="shared" si="0"/>
        <v>3322</v>
      </c>
      <c r="S21" s="142">
        <f t="shared" si="0"/>
        <v>4038</v>
      </c>
      <c r="T21" s="142">
        <f t="shared" si="0"/>
        <v>4462</v>
      </c>
      <c r="U21" s="142">
        <f t="shared" si="0"/>
        <v>722</v>
      </c>
      <c r="V21" s="142">
        <f t="shared" si="0"/>
        <v>19758</v>
      </c>
      <c r="W21" s="142">
        <f t="shared" si="0"/>
        <v>609</v>
      </c>
      <c r="X21" s="142">
        <f t="shared" si="0"/>
        <v>1434</v>
      </c>
      <c r="Y21" s="142">
        <f aca="true" t="shared" si="1" ref="Y21:AI21">SUM(Y10:Y20)</f>
        <v>0</v>
      </c>
      <c r="Z21" s="142">
        <f t="shared" si="1"/>
        <v>30</v>
      </c>
      <c r="AA21" s="142">
        <f t="shared" si="1"/>
        <v>0</v>
      </c>
      <c r="AB21" s="142">
        <f t="shared" si="1"/>
        <v>38</v>
      </c>
      <c r="AC21" s="142">
        <f t="shared" si="1"/>
        <v>0</v>
      </c>
      <c r="AD21" s="142">
        <f t="shared" si="1"/>
        <v>1</v>
      </c>
      <c r="AE21" s="142">
        <f t="shared" si="1"/>
        <v>0</v>
      </c>
      <c r="AF21" s="142">
        <f t="shared" si="1"/>
        <v>0</v>
      </c>
      <c r="AG21" s="142">
        <f t="shared" si="1"/>
        <v>0</v>
      </c>
      <c r="AH21" s="142">
        <f t="shared" si="1"/>
        <v>246</v>
      </c>
      <c r="AI21" s="142">
        <f t="shared" si="1"/>
        <v>29</v>
      </c>
      <c r="AJ21" s="142">
        <f aca="true" t="shared" si="2" ref="AJ21:AR21">SUM(AJ10:AJ20)</f>
        <v>7215</v>
      </c>
      <c r="AK21" s="142">
        <f t="shared" si="2"/>
        <v>63</v>
      </c>
      <c r="AL21" s="142">
        <f t="shared" si="2"/>
        <v>117</v>
      </c>
      <c r="AM21" s="142">
        <f t="shared" si="2"/>
        <v>25</v>
      </c>
      <c r="AN21" s="142">
        <f t="shared" si="2"/>
        <v>4</v>
      </c>
      <c r="AO21" s="142">
        <f t="shared" si="2"/>
        <v>13</v>
      </c>
      <c r="AP21" s="142">
        <f t="shared" si="2"/>
        <v>231</v>
      </c>
      <c r="AQ21" s="142">
        <f t="shared" si="2"/>
        <v>85</v>
      </c>
      <c r="AR21" s="143">
        <f t="shared" si="2"/>
        <v>0</v>
      </c>
    </row>
    <row r="22" spans="17:43" ht="13.5" thickTop="1">
      <c r="Q22" t="s">
        <v>119</v>
      </c>
      <c r="V22" s="97"/>
      <c r="AH22" s="97"/>
      <c r="AI22" s="97"/>
      <c r="AK22" s="97"/>
      <c r="AQ22" s="97"/>
    </row>
    <row r="23" spans="3:8" ht="15.75">
      <c r="C23" s="102" t="s">
        <v>9</v>
      </c>
      <c r="E23" t="s">
        <v>119</v>
      </c>
      <c r="F23" t="s">
        <v>119</v>
      </c>
      <c r="G23" t="s">
        <v>119</v>
      </c>
      <c r="H23" t="s">
        <v>119</v>
      </c>
    </row>
    <row r="24" spans="3:45" ht="14.25">
      <c r="C24" s="5" t="s">
        <v>11</v>
      </c>
      <c r="D24" s="5"/>
      <c r="E24" s="5"/>
      <c r="F24" s="5"/>
      <c r="G24" s="5"/>
      <c r="H24" s="5"/>
      <c r="I24" s="5"/>
      <c r="J24" s="5"/>
      <c r="K24" s="5"/>
      <c r="L24" s="5"/>
      <c r="M24" s="5" t="s">
        <v>14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3:45" ht="14.25">
      <c r="C25" s="5" t="s">
        <v>10</v>
      </c>
      <c r="D25" s="5"/>
      <c r="E25" s="5"/>
      <c r="F25" s="5"/>
      <c r="G25" s="5"/>
      <c r="H25" s="5"/>
      <c r="I25" s="5"/>
      <c r="J25" s="5"/>
      <c r="K25" s="5"/>
      <c r="L25" s="5"/>
      <c r="M25" s="5" t="s">
        <v>12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3:45" ht="14.25">
      <c r="C26" s="5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5" t="s">
        <v>22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3:45" ht="14.25">
      <c r="C27" s="5" t="s">
        <v>21</v>
      </c>
      <c r="D27" s="5"/>
      <c r="E27" s="5"/>
      <c r="F27" s="5"/>
      <c r="G27" s="5"/>
      <c r="H27" s="5"/>
      <c r="I27" s="5"/>
      <c r="J27" s="5"/>
      <c r="K27" s="5"/>
      <c r="L27" s="5"/>
      <c r="M27" s="5" t="s">
        <v>20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</sheetData>
  <mergeCells count="17">
    <mergeCell ref="N8:U8"/>
    <mergeCell ref="V8:X8"/>
    <mergeCell ref="A19:A20"/>
    <mergeCell ref="A10:A16"/>
    <mergeCell ref="A17:A18"/>
    <mergeCell ref="A8:B9"/>
    <mergeCell ref="E8:E9"/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Y8:AC8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</cp:lastModifiedBy>
  <cp:lastPrinted>2009-01-13T12:09:21Z</cp:lastPrinted>
  <dcterms:created xsi:type="dcterms:W3CDTF">1997-01-24T11:07:25Z</dcterms:created>
  <dcterms:modified xsi:type="dcterms:W3CDTF">2009-01-21T07:52:24Z</dcterms:modified>
  <cp:category/>
  <cp:version/>
  <cp:contentType/>
  <cp:contentStatus/>
</cp:coreProperties>
</file>