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Podľa subjektov" sheetId="3" r:id="rId3"/>
  </sheets>
  <definedNames/>
  <calcPr fullCalcOnLoad="1"/>
</workbook>
</file>

<file path=xl/sharedStrings.xml><?xml version="1.0" encoding="utf-8"?>
<sst xmlns="http://schemas.openxmlformats.org/spreadsheetml/2006/main" count="220" uniqueCount="120">
  <si>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</si>
  <si>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</si>
  <si>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</si>
  <si>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</si>
  <si>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</si>
  <si>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</si>
  <si>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</si>
  <si>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</si>
  <si>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</si>
  <si>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</si>
  <si>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</si>
  <si>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</si>
  <si>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</si>
  <si>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</si>
  <si>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</si>
  <si>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</si>
  <si>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</si>
  <si>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</si>
  <si>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</si>
  <si>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</si>
  <si>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</si>
  <si>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</si>
  <si>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</si>
  <si>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</si>
  <si>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</si>
  <si>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</si>
  <si>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</si>
  <si>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</si>
  <si>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</si>
  <si>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</si>
  <si>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</si>
  <si>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</si>
  <si>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Počet výrobkov s nedostatkami v DZ</t>
  </si>
  <si>
    <t>VÝSLEDKY KONTROL PRI PRECHODE NA EURO  - PODĽA KRAJOV</t>
  </si>
  <si>
    <t>Predaj cez katalóg</t>
  </si>
  <si>
    <t>Nedostatky odstránené na mieste</t>
  </si>
  <si>
    <t>Kontrola reklamných letákov</t>
  </si>
  <si>
    <t>Ceny na výrobkoch</t>
  </si>
  <si>
    <t>nezverejnený</t>
  </si>
  <si>
    <t>zverejnený nevhodne</t>
  </si>
  <si>
    <t>nesprávny KK</t>
  </si>
  <si>
    <t>Nevydaný (vôbec)</t>
  </si>
  <si>
    <t>počet kontrolovaných druhov výrobkov</t>
  </si>
  <si>
    <t>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</si>
  <si>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</si>
  <si>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</si>
  <si>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</si>
  <si>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</si>
  <si>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</si>
  <si>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</si>
  <si>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</t>
  </si>
  <si>
    <t>počet chýbajúcich cien v KT</t>
  </si>
  <si>
    <t xml:space="preserve">nesprávny prepočet </t>
  </si>
  <si>
    <t>chýba KK v KT</t>
  </si>
  <si>
    <t xml:space="preserve">ceny neuvedené duálne </t>
  </si>
  <si>
    <t>ceny nesprávne prepočítané</t>
  </si>
  <si>
    <t>chýbajúci KK</t>
  </si>
  <si>
    <t>počet kontrolov. reklamných letákov</t>
  </si>
  <si>
    <t>počet reklam. letákov s nedostatkami</t>
  </si>
  <si>
    <t>počet kontrolovaných produktov v reklame</t>
  </si>
  <si>
    <t>nesprávny prepočet u PC</t>
  </si>
  <si>
    <t>nesprávny prepočet u JC</t>
  </si>
  <si>
    <t>počet reklam. letákov bez KK</t>
  </si>
  <si>
    <t>počet zvýšených cien</t>
  </si>
  <si>
    <t>podozrenie na neodôvodnené zvýšenie</t>
  </si>
  <si>
    <t>obdobie od 01. 11. 2008 - 30. 11. 2008 - povinné duálne zobrazovanie cien</t>
  </si>
  <si>
    <t>VÝSLEDKY KONTROL PRI PRECHODE NA EURO - PODĽA SORTIMENTU</t>
  </si>
  <si>
    <t xml:space="preserve">obdobie od 01.11.2008 do 30.11.2008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</si>
  <si>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</si>
  <si>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</si>
  <si>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</si>
  <si>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</si>
  <si>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</si>
  <si>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</si>
  <si>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</si>
  <si>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</si>
  <si>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</si>
  <si>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</si>
  <si>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</si>
  <si>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>obdobie  01.11.2008 - 30.11.2008 - povinné duálne zobrazovanie cien</t>
  </si>
  <si>
    <t>Predaj výrobkov</t>
  </si>
  <si>
    <t>Nesprávny prepočet IC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</si>
  <si>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</si>
  <si>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</si>
  <si>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</si>
  <si>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</si>
  <si>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</si>
  <si>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</si>
  <si>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</si>
  <si>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</si>
  <si>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</si>
  <si>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</si>
  <si>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</si>
  <si>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</si>
  <si>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</si>
  <si>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</si>
  <si>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</si>
  <si>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</si>
  <si>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kontrolov. reklamných letákov</t>
  </si>
  <si>
    <t>Počet reklam.letákov s nedostatkami</t>
  </si>
  <si>
    <t>Počet kontrolovaných produktov v reklame</t>
  </si>
  <si>
    <t>Nesprávny prepočet u PC</t>
  </si>
  <si>
    <t>Nesprávny prepočet u JC</t>
  </si>
  <si>
    <t>Počet reklam.letákov bez KK</t>
  </si>
  <si>
    <t>Počet kontrolov.cien</t>
  </si>
  <si>
    <t>Počet zvýšených cien</t>
  </si>
  <si>
    <t>Podozrenie na neodôvodnené zvýšenie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</si>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</sst>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0" fillId="2" borderId="47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4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49" xfId="0" applyFill="1" applyBorder="1" applyAlignment="1">
      <alignment/>
    </xf>
    <xf numFmtId="0" fontId="0" fillId="0" borderId="15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2" fillId="6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textRotation="90" wrapText="1"/>
    </xf>
    <xf numFmtId="0" fontId="1" fillId="2" borderId="6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" fillId="2" borderId="6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6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 textRotation="90" wrapText="1"/>
    </xf>
    <xf numFmtId="0" fontId="11" fillId="5" borderId="58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8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0" fillId="2" borderId="55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" fillId="2" borderId="67" xfId="0" applyFont="1" applyFill="1" applyBorder="1" applyAlignment="1">
      <alignment horizontal="center" vertical="center" textRotation="90"/>
    </xf>
    <xf numFmtId="0" fontId="2" fillId="2" borderId="68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23"/>
  <sheetViews>
    <sheetView tabSelected="1" zoomScale="75" zoomScaleNormal="75" workbookViewId="0" topLeftCell="A1">
      <selection activeCell="A3" sqref="A3:AQ3"/>
    </sheetView>
  </sheetViews>
  <sheetFormatPr defaultColWidth="9.00390625" defaultRowHeight="12.75"/>
  <cols>
    <col min="1" max="1" width="6.00390625" style="0" customWidth="1"/>
    <col min="2" max="4" width="6.25390625" style="0" customWidth="1"/>
    <col min="5" max="6" width="4.875" style="0" customWidth="1"/>
    <col min="7" max="7" width="7.375" style="0" customWidth="1"/>
    <col min="8" max="8" width="5.125" style="0" customWidth="1"/>
    <col min="9" max="9" width="5.625" style="0" customWidth="1"/>
    <col min="10" max="10" width="5.75390625" style="0" customWidth="1"/>
    <col min="11" max="12" width="5.375" style="0" customWidth="1"/>
    <col min="14" max="14" width="7.875" style="0" customWidth="1"/>
    <col min="15" max="15" width="7.75390625" style="0" customWidth="1"/>
    <col min="16" max="16" width="6.625" style="0" customWidth="1"/>
    <col min="17" max="17" width="6.375" style="0" customWidth="1"/>
    <col min="18" max="18" width="6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00390625" style="0" customWidth="1"/>
    <col min="26" max="26" width="4.625" style="0" customWidth="1"/>
    <col min="27" max="28" width="4.375" style="0" customWidth="1"/>
    <col min="29" max="29" width="4.75390625" style="0" customWidth="1"/>
    <col min="30" max="30" width="4.625" style="0" customWidth="1"/>
    <col min="31" max="31" width="5.75390625" style="0" customWidth="1"/>
    <col min="32" max="32" width="5.125" style="0" customWidth="1"/>
    <col min="33" max="33" width="5.625" style="0" customWidth="1"/>
    <col min="34" max="34" width="5.25390625" style="0" customWidth="1"/>
    <col min="35" max="35" width="6.25390625" style="0" customWidth="1"/>
    <col min="36" max="36" width="4.62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5.25390625" style="0" customWidth="1"/>
    <col min="42" max="42" width="5.625" style="0" customWidth="1"/>
    <col min="43" max="43" width="5.00390625" style="0" customWidth="1"/>
  </cols>
  <sheetData>
    <row r="3" spans="1:43" ht="20.25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41"/>
      <c r="AP3" s="141"/>
      <c r="AQ3" s="141"/>
    </row>
    <row r="4" spans="1:43" ht="18.75">
      <c r="A4" s="135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ht="18.75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="50" customFormat="1" ht="12.75" thickBot="1"/>
    <row r="7" spans="1:43" ht="24" customHeight="1" thickBot="1" thickTop="1">
      <c r="A7" s="142" t="s">
        <v>0</v>
      </c>
      <c r="B7" s="118" t="s">
        <v>1</v>
      </c>
      <c r="C7" s="121" t="s">
        <v>2</v>
      </c>
      <c r="D7" s="118" t="s">
        <v>35</v>
      </c>
      <c r="E7" s="115" t="s">
        <v>23</v>
      </c>
      <c r="F7" s="113"/>
      <c r="G7" s="114"/>
      <c r="H7" s="115" t="s">
        <v>5</v>
      </c>
      <c r="I7" s="112"/>
      <c r="J7" s="112"/>
      <c r="K7" s="112"/>
      <c r="L7" s="136"/>
      <c r="M7" s="139" t="s">
        <v>37</v>
      </c>
      <c r="N7" s="125"/>
      <c r="O7" s="125"/>
      <c r="P7" s="125"/>
      <c r="Q7" s="125"/>
      <c r="R7" s="125"/>
      <c r="S7" s="125"/>
      <c r="T7" s="126"/>
      <c r="U7" s="111" t="s">
        <v>6</v>
      </c>
      <c r="V7" s="123"/>
      <c r="W7" s="123"/>
      <c r="X7" s="110" t="s">
        <v>34</v>
      </c>
      <c r="Y7" s="110"/>
      <c r="Z7" s="110"/>
      <c r="AA7" s="110"/>
      <c r="AB7" s="110"/>
      <c r="AC7" s="110" t="s">
        <v>7</v>
      </c>
      <c r="AD7" s="110"/>
      <c r="AE7" s="110"/>
      <c r="AF7" s="110"/>
      <c r="AG7" s="111" t="s">
        <v>36</v>
      </c>
      <c r="AH7" s="123"/>
      <c r="AI7" s="123"/>
      <c r="AJ7" s="123"/>
      <c r="AK7" s="123"/>
      <c r="AL7" s="123"/>
      <c r="AM7" s="123"/>
      <c r="AN7" s="123"/>
      <c r="AO7" s="110" t="s">
        <v>8</v>
      </c>
      <c r="AP7" s="110"/>
      <c r="AQ7" s="110"/>
    </row>
    <row r="8" spans="1:43" ht="159.75" customHeight="1" thickBot="1" thickTop="1">
      <c r="A8" s="143"/>
      <c r="B8" s="119"/>
      <c r="C8" s="122"/>
      <c r="D8" s="140"/>
      <c r="E8" s="7" t="s">
        <v>38</v>
      </c>
      <c r="F8" s="7" t="s">
        <v>39</v>
      </c>
      <c r="G8" s="7" t="s">
        <v>40</v>
      </c>
      <c r="H8" s="1" t="s">
        <v>41</v>
      </c>
      <c r="I8" s="1" t="s">
        <v>15</v>
      </c>
      <c r="J8" s="1" t="s">
        <v>16</v>
      </c>
      <c r="K8" s="1" t="s">
        <v>4</v>
      </c>
      <c r="L8" s="54" t="s">
        <v>17</v>
      </c>
      <c r="M8" s="1" t="s">
        <v>42</v>
      </c>
      <c r="N8" s="1" t="s">
        <v>43</v>
      </c>
      <c r="O8" s="1" t="s">
        <v>32</v>
      </c>
      <c r="P8" s="1" t="s">
        <v>43</v>
      </c>
      <c r="Q8" s="1" t="s">
        <v>44</v>
      </c>
      <c r="R8" s="1" t="s">
        <v>18</v>
      </c>
      <c r="S8" s="1" t="s">
        <v>45</v>
      </c>
      <c r="T8" s="2" t="s">
        <v>19</v>
      </c>
      <c r="U8" s="3" t="s">
        <v>46</v>
      </c>
      <c r="V8" s="3" t="s">
        <v>47</v>
      </c>
      <c r="W8" s="3" t="s">
        <v>48</v>
      </c>
      <c r="X8" s="55" t="s">
        <v>49</v>
      </c>
      <c r="Y8" s="3" t="s">
        <v>50</v>
      </c>
      <c r="Z8" s="3" t="s">
        <v>51</v>
      </c>
      <c r="AA8" s="3" t="s">
        <v>52</v>
      </c>
      <c r="AB8" s="4" t="s">
        <v>53</v>
      </c>
      <c r="AC8" s="4" t="s">
        <v>50</v>
      </c>
      <c r="AD8" s="3" t="s">
        <v>54</v>
      </c>
      <c r="AE8" s="3" t="s">
        <v>55</v>
      </c>
      <c r="AF8" s="42" t="s">
        <v>56</v>
      </c>
      <c r="AG8" s="4" t="s">
        <v>57</v>
      </c>
      <c r="AH8" s="42" t="s">
        <v>58</v>
      </c>
      <c r="AI8" s="42" t="s">
        <v>59</v>
      </c>
      <c r="AJ8" s="42" t="s">
        <v>44</v>
      </c>
      <c r="AK8" s="42" t="s">
        <v>60</v>
      </c>
      <c r="AL8" s="42" t="s">
        <v>45</v>
      </c>
      <c r="AM8" s="42" t="s">
        <v>61</v>
      </c>
      <c r="AN8" s="42" t="s">
        <v>62</v>
      </c>
      <c r="AO8" s="4" t="s">
        <v>50</v>
      </c>
      <c r="AP8" s="4" t="s">
        <v>63</v>
      </c>
      <c r="AQ8" s="4" t="s">
        <v>64</v>
      </c>
    </row>
    <row r="9" spans="1:44" s="33" customFormat="1" ht="49.5" customHeight="1" thickBot="1" thickTop="1">
      <c r="A9" s="40" t="s">
        <v>24</v>
      </c>
      <c r="B9" s="9">
        <v>421</v>
      </c>
      <c r="C9" s="10">
        <v>75</v>
      </c>
      <c r="D9" s="51">
        <v>12</v>
      </c>
      <c r="E9" s="9">
        <v>5</v>
      </c>
      <c r="F9" s="10">
        <v>1</v>
      </c>
      <c r="G9" s="11">
        <v>5</v>
      </c>
      <c r="H9" s="26">
        <v>5</v>
      </c>
      <c r="I9" s="10">
        <v>1</v>
      </c>
      <c r="J9" s="10">
        <v>5</v>
      </c>
      <c r="K9" s="34">
        <v>8</v>
      </c>
      <c r="L9" s="35">
        <v>4</v>
      </c>
      <c r="M9" s="43">
        <f>10198+6052</f>
        <v>16250</v>
      </c>
      <c r="N9" s="34">
        <f>656+3436</f>
        <v>4092</v>
      </c>
      <c r="O9" s="34">
        <f>178+52</f>
        <v>230</v>
      </c>
      <c r="P9" s="34">
        <f>153+42</f>
        <v>195</v>
      </c>
      <c r="Q9" s="34">
        <f>176+32</f>
        <v>208</v>
      </c>
      <c r="R9" s="34">
        <f>217+181</f>
        <v>398</v>
      </c>
      <c r="S9" s="34">
        <f>262+156</f>
        <v>418</v>
      </c>
      <c r="T9" s="38">
        <f>73+30</f>
        <v>103</v>
      </c>
      <c r="U9" s="43">
        <v>975</v>
      </c>
      <c r="V9" s="34">
        <v>4</v>
      </c>
      <c r="W9" s="35">
        <v>188</v>
      </c>
      <c r="X9" s="9">
        <v>0</v>
      </c>
      <c r="Y9" s="10">
        <v>0</v>
      </c>
      <c r="Z9" s="10">
        <v>0</v>
      </c>
      <c r="AA9" s="10">
        <v>0</v>
      </c>
      <c r="AB9" s="22">
        <v>0</v>
      </c>
      <c r="AC9" s="9">
        <v>0</v>
      </c>
      <c r="AD9" s="10">
        <v>0</v>
      </c>
      <c r="AE9" s="10">
        <v>0</v>
      </c>
      <c r="AF9" s="11">
        <v>0</v>
      </c>
      <c r="AG9" s="9">
        <v>115</v>
      </c>
      <c r="AH9" s="10">
        <v>3</v>
      </c>
      <c r="AI9" s="34">
        <v>101</v>
      </c>
      <c r="AJ9" s="34">
        <v>11</v>
      </c>
      <c r="AK9" s="34">
        <v>2</v>
      </c>
      <c r="AL9" s="34">
        <v>0</v>
      </c>
      <c r="AM9" s="34">
        <v>1</v>
      </c>
      <c r="AN9" s="46">
        <v>2</v>
      </c>
      <c r="AO9" s="26">
        <v>5</v>
      </c>
      <c r="AP9" s="10">
        <v>5</v>
      </c>
      <c r="AQ9" s="11">
        <v>0</v>
      </c>
      <c r="AR9" s="32"/>
    </row>
    <row r="10" spans="1:44" s="33" customFormat="1" ht="49.5" customHeight="1" thickBot="1" thickTop="1">
      <c r="A10" s="40" t="s">
        <v>31</v>
      </c>
      <c r="B10" s="12">
        <v>362</v>
      </c>
      <c r="C10" s="13">
        <v>71</v>
      </c>
      <c r="D10" s="52">
        <v>23</v>
      </c>
      <c r="E10" s="12">
        <v>4</v>
      </c>
      <c r="F10" s="13">
        <v>4</v>
      </c>
      <c r="G10" s="14">
        <v>0</v>
      </c>
      <c r="H10" s="27">
        <v>8</v>
      </c>
      <c r="I10" s="13">
        <v>0</v>
      </c>
      <c r="J10" s="13">
        <v>0</v>
      </c>
      <c r="K10" s="13">
        <v>3</v>
      </c>
      <c r="L10" s="23">
        <v>1</v>
      </c>
      <c r="M10" s="12">
        <f>7497+4282</f>
        <v>11779</v>
      </c>
      <c r="N10" s="13">
        <f>80+449</f>
        <v>529</v>
      </c>
      <c r="O10" s="13">
        <f>44+101</f>
        <v>145</v>
      </c>
      <c r="P10" s="13">
        <f>88</f>
        <v>88</v>
      </c>
      <c r="Q10" s="13">
        <v>140</v>
      </c>
      <c r="R10" s="13">
        <f>292+61</f>
        <v>353</v>
      </c>
      <c r="S10" s="13">
        <f>302+58</f>
        <v>360</v>
      </c>
      <c r="T10" s="13">
        <f>43</f>
        <v>43</v>
      </c>
      <c r="U10" s="12">
        <v>730</v>
      </c>
      <c r="V10" s="13">
        <v>41</v>
      </c>
      <c r="W10" s="23">
        <v>5</v>
      </c>
      <c r="X10" s="12">
        <v>0</v>
      </c>
      <c r="Y10" s="13">
        <v>0</v>
      </c>
      <c r="Z10" s="13">
        <v>0</v>
      </c>
      <c r="AA10" s="13">
        <v>0</v>
      </c>
      <c r="AB10" s="23">
        <v>0</v>
      </c>
      <c r="AC10" s="12">
        <v>0</v>
      </c>
      <c r="AD10" s="13">
        <v>0</v>
      </c>
      <c r="AE10" s="13">
        <v>0</v>
      </c>
      <c r="AF10" s="14">
        <v>0</v>
      </c>
      <c r="AG10" s="12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4">
        <v>0</v>
      </c>
      <c r="AO10" s="27">
        <v>156</v>
      </c>
      <c r="AP10" s="13">
        <v>34</v>
      </c>
      <c r="AQ10" s="14">
        <v>0</v>
      </c>
      <c r="AR10" s="32"/>
    </row>
    <row r="11" spans="1:44" s="33" customFormat="1" ht="49.5" customHeight="1" thickBot="1" thickTop="1">
      <c r="A11" s="40" t="s">
        <v>25</v>
      </c>
      <c r="B11" s="12">
        <v>573</v>
      </c>
      <c r="C11" s="13">
        <v>250</v>
      </c>
      <c r="D11" s="52">
        <v>136</v>
      </c>
      <c r="E11" s="12">
        <v>5</v>
      </c>
      <c r="F11" s="13">
        <v>0</v>
      </c>
      <c r="G11" s="14">
        <v>1</v>
      </c>
      <c r="H11" s="27">
        <v>0</v>
      </c>
      <c r="I11" s="13">
        <v>0</v>
      </c>
      <c r="J11" s="13">
        <v>0</v>
      </c>
      <c r="K11" s="13">
        <v>1</v>
      </c>
      <c r="L11" s="23">
        <v>0</v>
      </c>
      <c r="M11" s="12">
        <f>13040+11484</f>
        <v>24524</v>
      </c>
      <c r="N11" s="13">
        <f>735+4129</f>
        <v>4864</v>
      </c>
      <c r="O11" s="13">
        <f>1681+1750</f>
        <v>3431</v>
      </c>
      <c r="P11" s="13">
        <f>423</f>
        <v>423</v>
      </c>
      <c r="Q11" s="13">
        <f>191+38</f>
        <v>229</v>
      </c>
      <c r="R11" s="13">
        <f>399+674</f>
        <v>1073</v>
      </c>
      <c r="S11" s="13">
        <f>642+507</f>
        <v>1149</v>
      </c>
      <c r="T11" s="13">
        <f>449+531</f>
        <v>980</v>
      </c>
      <c r="U11" s="12">
        <v>2645</v>
      </c>
      <c r="V11" s="13">
        <v>84</v>
      </c>
      <c r="W11" s="23">
        <v>144</v>
      </c>
      <c r="X11" s="12">
        <v>0</v>
      </c>
      <c r="Y11" s="13">
        <v>0</v>
      </c>
      <c r="Z11" s="13">
        <v>0</v>
      </c>
      <c r="AA11" s="13">
        <v>0</v>
      </c>
      <c r="AB11" s="23">
        <v>0</v>
      </c>
      <c r="AC11" s="12">
        <v>0</v>
      </c>
      <c r="AD11" s="13">
        <v>0</v>
      </c>
      <c r="AE11" s="13">
        <v>0</v>
      </c>
      <c r="AF11" s="14">
        <v>0</v>
      </c>
      <c r="AG11" s="12">
        <v>3</v>
      </c>
      <c r="AH11" s="13">
        <v>3</v>
      </c>
      <c r="AI11" s="13">
        <v>70</v>
      </c>
      <c r="AJ11" s="13">
        <v>5</v>
      </c>
      <c r="AK11" s="13">
        <v>42</v>
      </c>
      <c r="AL11" s="13">
        <v>2</v>
      </c>
      <c r="AM11" s="13">
        <v>2</v>
      </c>
      <c r="AN11" s="14">
        <v>0</v>
      </c>
      <c r="AO11" s="27">
        <v>0</v>
      </c>
      <c r="AP11" s="13">
        <v>0</v>
      </c>
      <c r="AQ11" s="14">
        <v>0</v>
      </c>
      <c r="AR11" s="32"/>
    </row>
    <row r="12" spans="1:43" s="33" customFormat="1" ht="49.5" customHeight="1" thickBot="1" thickTop="1">
      <c r="A12" s="40" t="s">
        <v>26</v>
      </c>
      <c r="B12" s="12">
        <v>286</v>
      </c>
      <c r="C12" s="13">
        <v>141</v>
      </c>
      <c r="D12" s="52">
        <v>113</v>
      </c>
      <c r="E12" s="12">
        <v>5</v>
      </c>
      <c r="F12" s="13">
        <v>1</v>
      </c>
      <c r="G12" s="14">
        <v>0</v>
      </c>
      <c r="H12" s="27">
        <v>1</v>
      </c>
      <c r="I12" s="13">
        <v>0</v>
      </c>
      <c r="J12" s="13">
        <v>0</v>
      </c>
      <c r="K12" s="13">
        <v>2</v>
      </c>
      <c r="L12" s="23">
        <v>0</v>
      </c>
      <c r="M12" s="12">
        <f>6293+4625</f>
        <v>10918</v>
      </c>
      <c r="N12" s="13">
        <f>741+1728</f>
        <v>2469</v>
      </c>
      <c r="O12" s="13">
        <f>929+343</f>
        <v>1272</v>
      </c>
      <c r="P12" s="13">
        <f>101+103</f>
        <v>204</v>
      </c>
      <c r="Q12" s="13">
        <f>106+9</f>
        <v>115</v>
      </c>
      <c r="R12" s="13">
        <f>560+232</f>
        <v>792</v>
      </c>
      <c r="S12" s="13">
        <f>170+121</f>
        <v>291</v>
      </c>
      <c r="T12" s="13">
        <f>89</f>
        <v>89</v>
      </c>
      <c r="U12" s="12">
        <v>539</v>
      </c>
      <c r="V12" s="13">
        <v>12</v>
      </c>
      <c r="W12" s="23">
        <v>48</v>
      </c>
      <c r="X12" s="12">
        <v>0</v>
      </c>
      <c r="Y12" s="13">
        <v>0</v>
      </c>
      <c r="Z12" s="13">
        <v>0</v>
      </c>
      <c r="AA12" s="13">
        <v>0</v>
      </c>
      <c r="AB12" s="23">
        <v>0</v>
      </c>
      <c r="AC12" s="12">
        <v>0</v>
      </c>
      <c r="AD12" s="13">
        <v>0</v>
      </c>
      <c r="AE12" s="13">
        <v>0</v>
      </c>
      <c r="AF12" s="14">
        <v>0</v>
      </c>
      <c r="AG12" s="12">
        <v>27</v>
      </c>
      <c r="AH12" s="13">
        <v>11</v>
      </c>
      <c r="AI12" s="13">
        <v>1992</v>
      </c>
      <c r="AJ12" s="13">
        <v>7</v>
      </c>
      <c r="AK12" s="13">
        <v>25</v>
      </c>
      <c r="AL12" s="13">
        <v>0</v>
      </c>
      <c r="AM12" s="13">
        <v>4</v>
      </c>
      <c r="AN12" s="14">
        <v>0</v>
      </c>
      <c r="AO12" s="27">
        <v>125</v>
      </c>
      <c r="AP12" s="13">
        <v>5</v>
      </c>
      <c r="AQ12" s="14">
        <v>0</v>
      </c>
    </row>
    <row r="13" spans="1:44" s="33" customFormat="1" ht="49.5" customHeight="1" thickBot="1" thickTop="1">
      <c r="A13" s="40" t="s">
        <v>27</v>
      </c>
      <c r="B13" s="12">
        <v>466</v>
      </c>
      <c r="C13" s="13">
        <v>51</v>
      </c>
      <c r="D13" s="52">
        <v>12</v>
      </c>
      <c r="E13" s="12">
        <v>0</v>
      </c>
      <c r="F13" s="13">
        <v>0</v>
      </c>
      <c r="G13" s="14">
        <v>0</v>
      </c>
      <c r="H13" s="27">
        <v>0</v>
      </c>
      <c r="I13" s="13">
        <v>1</v>
      </c>
      <c r="J13" s="13">
        <v>0</v>
      </c>
      <c r="K13" s="13">
        <v>1</v>
      </c>
      <c r="L13" s="23">
        <v>1</v>
      </c>
      <c r="M13" s="12">
        <f>23302+5893</f>
        <v>29195</v>
      </c>
      <c r="N13" s="13">
        <f>1299+834</f>
        <v>2133</v>
      </c>
      <c r="O13" s="13">
        <f>449+317</f>
        <v>766</v>
      </c>
      <c r="P13" s="13">
        <f>29+155</f>
        <v>184</v>
      </c>
      <c r="Q13" s="13">
        <f>13</f>
        <v>13</v>
      </c>
      <c r="R13" s="13">
        <f>163+50</f>
        <v>213</v>
      </c>
      <c r="S13" s="13">
        <f>131+57</f>
        <v>188</v>
      </c>
      <c r="T13" s="13">
        <f>88+209</f>
        <v>297</v>
      </c>
      <c r="U13" s="12">
        <v>3434</v>
      </c>
      <c r="V13" s="13">
        <v>52</v>
      </c>
      <c r="W13" s="23">
        <v>179</v>
      </c>
      <c r="X13" s="12">
        <v>0</v>
      </c>
      <c r="Y13" s="13">
        <v>0</v>
      </c>
      <c r="Z13" s="13">
        <v>0</v>
      </c>
      <c r="AA13" s="13">
        <v>0</v>
      </c>
      <c r="AB13" s="23">
        <v>0</v>
      </c>
      <c r="AC13" s="12">
        <v>0</v>
      </c>
      <c r="AD13" s="13">
        <v>0</v>
      </c>
      <c r="AE13" s="13">
        <v>0</v>
      </c>
      <c r="AF13" s="14">
        <v>0</v>
      </c>
      <c r="AG13" s="12">
        <v>37</v>
      </c>
      <c r="AH13" s="13">
        <v>0</v>
      </c>
      <c r="AI13" s="13">
        <v>1412</v>
      </c>
      <c r="AJ13" s="13">
        <v>0</v>
      </c>
      <c r="AK13" s="13">
        <v>0</v>
      </c>
      <c r="AL13" s="13">
        <v>0</v>
      </c>
      <c r="AM13" s="13">
        <v>0</v>
      </c>
      <c r="AN13" s="14">
        <v>0</v>
      </c>
      <c r="AO13" s="27">
        <v>152</v>
      </c>
      <c r="AP13" s="13">
        <v>75</v>
      </c>
      <c r="AQ13" s="14">
        <v>1</v>
      </c>
      <c r="AR13" s="32"/>
    </row>
    <row r="14" spans="1:44" s="33" customFormat="1" ht="49.5" customHeight="1" thickBot="1" thickTop="1">
      <c r="A14" s="41" t="s">
        <v>28</v>
      </c>
      <c r="B14" s="12">
        <v>512</v>
      </c>
      <c r="C14" s="13">
        <v>161</v>
      </c>
      <c r="D14" s="52">
        <v>64</v>
      </c>
      <c r="E14" s="12">
        <v>3</v>
      </c>
      <c r="F14" s="13">
        <v>0</v>
      </c>
      <c r="G14" s="14">
        <v>1</v>
      </c>
      <c r="H14" s="27">
        <v>0</v>
      </c>
      <c r="I14" s="13">
        <v>1</v>
      </c>
      <c r="J14" s="13">
        <v>1</v>
      </c>
      <c r="K14" s="13">
        <v>1</v>
      </c>
      <c r="L14" s="23">
        <v>0</v>
      </c>
      <c r="M14" s="12">
        <f>7150+1539</f>
        <v>8689</v>
      </c>
      <c r="N14" s="13">
        <f>231+81</f>
        <v>312</v>
      </c>
      <c r="O14" s="13">
        <f>227+70</f>
        <v>297</v>
      </c>
      <c r="P14" s="13">
        <f>27</f>
        <v>27</v>
      </c>
      <c r="Q14" s="13">
        <f>177+52</f>
        <v>229</v>
      </c>
      <c r="R14" s="13">
        <f>380+59</f>
        <v>439</v>
      </c>
      <c r="S14" s="13">
        <f>682+207</f>
        <v>889</v>
      </c>
      <c r="T14" s="13">
        <f>160</f>
        <v>160</v>
      </c>
      <c r="U14" s="12">
        <v>3201</v>
      </c>
      <c r="V14" s="13">
        <v>69</v>
      </c>
      <c r="W14" s="23">
        <v>364</v>
      </c>
      <c r="X14" s="12">
        <v>0</v>
      </c>
      <c r="Y14" s="13">
        <v>0</v>
      </c>
      <c r="Z14" s="13">
        <v>0</v>
      </c>
      <c r="AA14" s="13">
        <v>0</v>
      </c>
      <c r="AB14" s="23">
        <v>0</v>
      </c>
      <c r="AC14" s="12">
        <v>0</v>
      </c>
      <c r="AD14" s="13">
        <v>0</v>
      </c>
      <c r="AE14" s="13">
        <v>0</v>
      </c>
      <c r="AF14" s="14">
        <v>0</v>
      </c>
      <c r="AG14" s="12">
        <v>1</v>
      </c>
      <c r="AH14" s="13">
        <v>0</v>
      </c>
      <c r="AI14" s="13">
        <v>20</v>
      </c>
      <c r="AJ14" s="13">
        <v>0</v>
      </c>
      <c r="AK14" s="13">
        <v>0</v>
      </c>
      <c r="AL14" s="13">
        <v>0</v>
      </c>
      <c r="AM14" s="13">
        <v>0</v>
      </c>
      <c r="AN14" s="14">
        <v>0</v>
      </c>
      <c r="AO14" s="27">
        <v>15</v>
      </c>
      <c r="AP14" s="13">
        <v>9</v>
      </c>
      <c r="AQ14" s="14">
        <v>0</v>
      </c>
      <c r="AR14" s="32"/>
    </row>
    <row r="15" spans="1:43" s="33" customFormat="1" ht="49.5" customHeight="1" thickBot="1" thickTop="1">
      <c r="A15" s="40" t="s">
        <v>29</v>
      </c>
      <c r="B15" s="12">
        <v>349</v>
      </c>
      <c r="C15" s="13">
        <v>140</v>
      </c>
      <c r="D15" s="52">
        <v>67</v>
      </c>
      <c r="E15" s="12">
        <v>4</v>
      </c>
      <c r="F15" s="13">
        <v>0</v>
      </c>
      <c r="G15" s="14">
        <v>7</v>
      </c>
      <c r="H15" s="27">
        <v>7</v>
      </c>
      <c r="I15" s="13">
        <v>4</v>
      </c>
      <c r="J15" s="13">
        <v>7</v>
      </c>
      <c r="K15" s="13">
        <v>2</v>
      </c>
      <c r="L15" s="23">
        <v>0</v>
      </c>
      <c r="M15" s="12">
        <f>11803+6369</f>
        <v>18172</v>
      </c>
      <c r="N15" s="13">
        <f>2047+3498</f>
        <v>5545</v>
      </c>
      <c r="O15" s="13">
        <f>1540+577</f>
        <v>2117</v>
      </c>
      <c r="P15" s="13">
        <f>1012+306</f>
        <v>1318</v>
      </c>
      <c r="Q15" s="13">
        <f>126+89</f>
        <v>215</v>
      </c>
      <c r="R15" s="13">
        <f>1185+326</f>
        <v>1511</v>
      </c>
      <c r="S15" s="13">
        <f>228+126</f>
        <v>354</v>
      </c>
      <c r="T15" s="13">
        <f>44</f>
        <v>44</v>
      </c>
      <c r="U15" s="12">
        <v>576</v>
      </c>
      <c r="V15" s="13">
        <v>0</v>
      </c>
      <c r="W15" s="23">
        <v>9</v>
      </c>
      <c r="X15" s="12">
        <v>0</v>
      </c>
      <c r="Y15" s="13">
        <v>0</v>
      </c>
      <c r="Z15" s="13">
        <v>0</v>
      </c>
      <c r="AA15" s="13">
        <v>0</v>
      </c>
      <c r="AB15" s="23">
        <v>0</v>
      </c>
      <c r="AC15" s="12">
        <v>0</v>
      </c>
      <c r="AD15" s="13">
        <v>0</v>
      </c>
      <c r="AE15" s="13">
        <v>0</v>
      </c>
      <c r="AF15" s="14">
        <v>0</v>
      </c>
      <c r="AG15" s="12">
        <v>7</v>
      </c>
      <c r="AH15" s="13">
        <v>2</v>
      </c>
      <c r="AI15" s="13">
        <v>634</v>
      </c>
      <c r="AJ15" s="13">
        <v>3</v>
      </c>
      <c r="AK15" s="13">
        <v>5</v>
      </c>
      <c r="AL15" s="13">
        <v>14</v>
      </c>
      <c r="AM15" s="13">
        <v>0</v>
      </c>
      <c r="AN15" s="14">
        <v>0</v>
      </c>
      <c r="AO15" s="27">
        <v>41</v>
      </c>
      <c r="AP15" s="13">
        <v>14</v>
      </c>
      <c r="AQ15" s="14">
        <v>0</v>
      </c>
    </row>
    <row r="16" spans="1:44" s="33" customFormat="1" ht="49.5" customHeight="1" thickBot="1" thickTop="1">
      <c r="A16" s="40" t="s">
        <v>30</v>
      </c>
      <c r="B16" s="15">
        <v>750</v>
      </c>
      <c r="C16" s="16">
        <v>247</v>
      </c>
      <c r="D16" s="53">
        <v>169</v>
      </c>
      <c r="E16" s="15">
        <v>11</v>
      </c>
      <c r="F16" s="16">
        <v>1</v>
      </c>
      <c r="G16" s="45">
        <v>5</v>
      </c>
      <c r="H16" s="28">
        <v>3</v>
      </c>
      <c r="I16" s="16">
        <v>6</v>
      </c>
      <c r="J16" s="16">
        <v>1</v>
      </c>
      <c r="K16" s="36">
        <v>1</v>
      </c>
      <c r="L16" s="37">
        <v>2</v>
      </c>
      <c r="M16" s="44">
        <f>19495+5874</f>
        <v>25369</v>
      </c>
      <c r="N16" s="36">
        <f>441+134</f>
        <v>575</v>
      </c>
      <c r="O16" s="36">
        <f>2102+803</f>
        <v>2905</v>
      </c>
      <c r="P16" s="36">
        <f>57</f>
        <v>57</v>
      </c>
      <c r="Q16" s="36">
        <f>563+114</f>
        <v>677</v>
      </c>
      <c r="R16" s="36">
        <f>1138+201</f>
        <v>1339</v>
      </c>
      <c r="S16" s="36">
        <f>498+656</f>
        <v>1154</v>
      </c>
      <c r="T16" s="39">
        <f>92+46</f>
        <v>138</v>
      </c>
      <c r="U16" s="44">
        <v>10557</v>
      </c>
      <c r="V16" s="36">
        <v>621</v>
      </c>
      <c r="W16" s="37">
        <v>810</v>
      </c>
      <c r="X16" s="44">
        <v>0</v>
      </c>
      <c r="Y16" s="16">
        <v>0</v>
      </c>
      <c r="Z16" s="16">
        <v>0</v>
      </c>
      <c r="AA16" s="16">
        <v>0</v>
      </c>
      <c r="AB16" s="24">
        <v>0</v>
      </c>
      <c r="AC16" s="15">
        <v>45</v>
      </c>
      <c r="AD16" s="16">
        <v>0</v>
      </c>
      <c r="AE16" s="16">
        <v>0</v>
      </c>
      <c r="AF16" s="45">
        <v>0</v>
      </c>
      <c r="AG16" s="15">
        <v>56</v>
      </c>
      <c r="AH16" s="16">
        <v>2</v>
      </c>
      <c r="AI16" s="36">
        <v>745</v>
      </c>
      <c r="AJ16" s="36">
        <v>0</v>
      </c>
      <c r="AK16" s="36">
        <v>1</v>
      </c>
      <c r="AL16" s="36">
        <v>0</v>
      </c>
      <c r="AM16" s="36">
        <v>1</v>
      </c>
      <c r="AN16" s="47">
        <v>0</v>
      </c>
      <c r="AO16" s="31">
        <v>187</v>
      </c>
      <c r="AP16" s="17">
        <v>55</v>
      </c>
      <c r="AQ16" s="18">
        <v>0</v>
      </c>
      <c r="AR16" s="32"/>
    </row>
    <row r="17" spans="1:43" s="33" customFormat="1" ht="76.5" customHeight="1" thickBot="1" thickTop="1">
      <c r="A17" s="8" t="s">
        <v>3</v>
      </c>
      <c r="B17" s="19">
        <f>SUM(B9:B16)</f>
        <v>3719</v>
      </c>
      <c r="C17" s="20">
        <f>SUM(C9:C16)</f>
        <v>1136</v>
      </c>
      <c r="D17" s="25">
        <f>SUM(D9:D16)</f>
        <v>596</v>
      </c>
      <c r="E17" s="19">
        <f aca="true" t="shared" si="0" ref="E17:J17">SUM(E9:E16)</f>
        <v>37</v>
      </c>
      <c r="F17" s="20">
        <f t="shared" si="0"/>
        <v>7</v>
      </c>
      <c r="G17" s="21">
        <f t="shared" si="0"/>
        <v>19</v>
      </c>
      <c r="H17" s="29">
        <f t="shared" si="0"/>
        <v>24</v>
      </c>
      <c r="I17" s="20">
        <f t="shared" si="0"/>
        <v>13</v>
      </c>
      <c r="J17" s="20">
        <f t="shared" si="0"/>
        <v>14</v>
      </c>
      <c r="K17" s="20">
        <f aca="true" t="shared" si="1" ref="K17:W17">SUM(K9:K16)</f>
        <v>19</v>
      </c>
      <c r="L17" s="21">
        <f t="shared" si="1"/>
        <v>8</v>
      </c>
      <c r="M17" s="29">
        <f t="shared" si="1"/>
        <v>144896</v>
      </c>
      <c r="N17" s="20">
        <f t="shared" si="1"/>
        <v>20519</v>
      </c>
      <c r="O17" s="20">
        <f t="shared" si="1"/>
        <v>11163</v>
      </c>
      <c r="P17" s="20">
        <f t="shared" si="1"/>
        <v>2496</v>
      </c>
      <c r="Q17" s="20">
        <f t="shared" si="1"/>
        <v>1826</v>
      </c>
      <c r="R17" s="20">
        <f t="shared" si="1"/>
        <v>6118</v>
      </c>
      <c r="S17" s="20">
        <f t="shared" si="1"/>
        <v>4803</v>
      </c>
      <c r="T17" s="30">
        <f t="shared" si="1"/>
        <v>1854</v>
      </c>
      <c r="U17" s="19">
        <f t="shared" si="1"/>
        <v>22657</v>
      </c>
      <c r="V17" s="20">
        <f t="shared" si="1"/>
        <v>883</v>
      </c>
      <c r="W17" s="21">
        <f t="shared" si="1"/>
        <v>1747</v>
      </c>
      <c r="X17" s="29">
        <f aca="true" t="shared" si="2" ref="X17:AH17">SUM(X9:X16)</f>
        <v>0</v>
      </c>
      <c r="Y17" s="20">
        <f t="shared" si="2"/>
        <v>0</v>
      </c>
      <c r="Z17" s="20">
        <f t="shared" si="2"/>
        <v>0</v>
      </c>
      <c r="AA17" s="20">
        <f t="shared" si="2"/>
        <v>0</v>
      </c>
      <c r="AB17" s="25">
        <f t="shared" si="2"/>
        <v>0</v>
      </c>
      <c r="AC17" s="19">
        <f t="shared" si="2"/>
        <v>45</v>
      </c>
      <c r="AD17" s="20">
        <f t="shared" si="2"/>
        <v>0</v>
      </c>
      <c r="AE17" s="20">
        <f t="shared" si="2"/>
        <v>0</v>
      </c>
      <c r="AF17" s="21">
        <f t="shared" si="2"/>
        <v>0</v>
      </c>
      <c r="AG17" s="29">
        <f t="shared" si="2"/>
        <v>246</v>
      </c>
      <c r="AH17" s="20">
        <f t="shared" si="2"/>
        <v>21</v>
      </c>
      <c r="AI17" s="20">
        <f aca="true" t="shared" si="3" ref="AI17:AQ17">SUM(AI9:AI16)</f>
        <v>4974</v>
      </c>
      <c r="AJ17" s="20">
        <f t="shared" si="3"/>
        <v>26</v>
      </c>
      <c r="AK17" s="20">
        <f t="shared" si="3"/>
        <v>75</v>
      </c>
      <c r="AL17" s="20">
        <f t="shared" si="3"/>
        <v>16</v>
      </c>
      <c r="AM17" s="20">
        <f t="shared" si="3"/>
        <v>8</v>
      </c>
      <c r="AN17" s="25">
        <f t="shared" si="3"/>
        <v>2</v>
      </c>
      <c r="AO17" s="19">
        <f t="shared" si="3"/>
        <v>681</v>
      </c>
      <c r="AP17" s="20">
        <f t="shared" si="3"/>
        <v>197</v>
      </c>
      <c r="AQ17" s="21">
        <f t="shared" si="3"/>
        <v>1</v>
      </c>
    </row>
    <row r="18" ht="13.5" thickTop="1"/>
    <row r="19" ht="15">
      <c r="B19" s="6" t="s">
        <v>9</v>
      </c>
    </row>
    <row r="20" spans="2:44" ht="14.2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 t="s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4.25">
      <c r="A21" s="5"/>
      <c r="B21" s="5" t="s">
        <v>10</v>
      </c>
      <c r="C21" s="5"/>
      <c r="D21" s="5"/>
      <c r="E21" s="5"/>
      <c r="F21" s="5"/>
      <c r="G21" s="5"/>
      <c r="H21" s="5"/>
      <c r="I21" s="5"/>
      <c r="J21" s="5"/>
      <c r="K21" s="5"/>
      <c r="L21" s="5" t="s">
        <v>12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4.25">
      <c r="A22" s="5"/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 t="s">
        <v>22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4.25">
      <c r="A23" s="5"/>
      <c r="B23" s="5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5" t="s">
        <v>20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</sheetData>
  <mergeCells count="14">
    <mergeCell ref="X7:AB7"/>
    <mergeCell ref="AC7:AF7"/>
    <mergeCell ref="M7:T7"/>
    <mergeCell ref="U7:W7"/>
    <mergeCell ref="E7:G7"/>
    <mergeCell ref="A3:AQ3"/>
    <mergeCell ref="A4:AQ4"/>
    <mergeCell ref="H7:L7"/>
    <mergeCell ref="AO7:AQ7"/>
    <mergeCell ref="A7:A8"/>
    <mergeCell ref="B7:B8"/>
    <mergeCell ref="C7:C8"/>
    <mergeCell ref="D7:D8"/>
    <mergeCell ref="AG7:AN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25"/>
  <sheetViews>
    <sheetView zoomScale="75" zoomScaleNormal="75" workbookViewId="0" topLeftCell="A1">
      <selection activeCell="K4" sqref="K4"/>
    </sheetView>
  </sheetViews>
  <sheetFormatPr defaultColWidth="9.00390625" defaultRowHeight="12.75"/>
  <cols>
    <col min="1" max="1" width="15.875" style="0" customWidth="1"/>
    <col min="2" max="2" width="6.625" style="0" customWidth="1"/>
    <col min="3" max="4" width="7.00390625" style="0" customWidth="1"/>
    <col min="5" max="5" width="5.00390625" style="0" customWidth="1"/>
    <col min="6" max="6" width="5.125" style="0" customWidth="1"/>
    <col min="7" max="7" width="7.125" style="0" customWidth="1"/>
    <col min="8" max="8" width="4.875" style="0" customWidth="1"/>
    <col min="9" max="10" width="4.75390625" style="0" customWidth="1"/>
    <col min="11" max="11" width="5.125" style="0" customWidth="1"/>
    <col min="12" max="12" width="5.375" style="0" customWidth="1"/>
    <col min="13" max="13" width="8.625" style="0" customWidth="1"/>
    <col min="14" max="14" width="7.625" style="0" customWidth="1"/>
    <col min="15" max="15" width="8.00390625" style="0" customWidth="1"/>
    <col min="16" max="16" width="6.875" style="0" customWidth="1"/>
    <col min="17" max="17" width="7.25390625" style="0" customWidth="1"/>
    <col min="18" max="18" width="6.125" style="0" customWidth="1"/>
    <col min="19" max="19" width="7.125" style="0" customWidth="1"/>
    <col min="20" max="20" width="6.125" style="0" customWidth="1"/>
    <col min="21" max="21" width="7.625" style="0" customWidth="1"/>
    <col min="22" max="22" width="5.75390625" style="0" customWidth="1"/>
    <col min="23" max="23" width="6.375" style="0" customWidth="1"/>
    <col min="24" max="25" width="5.125" style="0" customWidth="1"/>
    <col min="26" max="26" width="5.375" style="0" customWidth="1"/>
    <col min="27" max="27" width="4.75390625" style="0" customWidth="1"/>
    <col min="28" max="28" width="4.25390625" style="0" customWidth="1"/>
    <col min="29" max="29" width="4.75390625" style="0" bestFit="1" customWidth="1"/>
    <col min="30" max="30" width="5.375" style="0" customWidth="1"/>
    <col min="31" max="31" width="6.125" style="0" customWidth="1"/>
    <col min="32" max="32" width="4.375" style="0" customWidth="1"/>
    <col min="33" max="33" width="5.375" style="0" customWidth="1"/>
    <col min="34" max="34" width="5.125" style="0" customWidth="1"/>
    <col min="35" max="35" width="6.00390625" style="0" customWidth="1"/>
    <col min="36" max="36" width="4.625" style="0" customWidth="1"/>
    <col min="37" max="37" width="4.375" style="0" customWidth="1"/>
    <col min="38" max="38" width="4.625" style="0" customWidth="1"/>
    <col min="39" max="39" width="4.375" style="0" customWidth="1"/>
    <col min="40" max="40" width="5.625" style="0" customWidth="1"/>
    <col min="41" max="41" width="5.00390625" style="0" customWidth="1"/>
    <col min="42" max="42" width="4.875" style="0" customWidth="1"/>
    <col min="43" max="43" width="6.125" style="0" customWidth="1"/>
  </cols>
  <sheetData>
    <row r="2" spans="1:43" ht="20.25">
      <c r="A2" s="108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7.25" customHeight="1">
      <c r="A3" s="135" t="s">
        <v>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32" ht="17.25" customHeight="1">
      <c r="A4" s="4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7.25" customHeight="1">
      <c r="A5" s="4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4:43" ht="13.5" thickBot="1">
      <c r="D6" s="5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24" customHeight="1" thickBot="1" thickTop="1">
      <c r="A7" s="137" t="s">
        <v>68</v>
      </c>
      <c r="B7" s="118" t="s">
        <v>1</v>
      </c>
      <c r="C7" s="121" t="s">
        <v>2</v>
      </c>
      <c r="D7" s="118" t="s">
        <v>35</v>
      </c>
      <c r="E7" s="115" t="s">
        <v>23</v>
      </c>
      <c r="F7" s="113"/>
      <c r="G7" s="114"/>
      <c r="H7" s="115" t="s">
        <v>5</v>
      </c>
      <c r="I7" s="112"/>
      <c r="J7" s="112"/>
      <c r="K7" s="112"/>
      <c r="L7" s="136"/>
      <c r="M7" s="139" t="s">
        <v>37</v>
      </c>
      <c r="N7" s="125"/>
      <c r="O7" s="125"/>
      <c r="P7" s="125"/>
      <c r="Q7" s="125"/>
      <c r="R7" s="125"/>
      <c r="S7" s="125"/>
      <c r="T7" s="126"/>
      <c r="U7" s="111" t="s">
        <v>6</v>
      </c>
      <c r="V7" s="123"/>
      <c r="W7" s="123"/>
      <c r="X7" s="110" t="s">
        <v>34</v>
      </c>
      <c r="Y7" s="110"/>
      <c r="Z7" s="110"/>
      <c r="AA7" s="110"/>
      <c r="AB7" s="110"/>
      <c r="AC7" s="110" t="s">
        <v>7</v>
      </c>
      <c r="AD7" s="110"/>
      <c r="AE7" s="110"/>
      <c r="AF7" s="110"/>
      <c r="AG7" s="111" t="s">
        <v>36</v>
      </c>
      <c r="AH7" s="123"/>
      <c r="AI7" s="123"/>
      <c r="AJ7" s="123"/>
      <c r="AK7" s="123"/>
      <c r="AL7" s="123"/>
      <c r="AM7" s="123"/>
      <c r="AN7" s="123"/>
      <c r="AO7" s="110" t="s">
        <v>8</v>
      </c>
      <c r="AP7" s="110"/>
      <c r="AQ7" s="110"/>
    </row>
    <row r="8" spans="1:43" ht="159.75" customHeight="1" thickBot="1" thickTop="1">
      <c r="A8" s="138"/>
      <c r="B8" s="119"/>
      <c r="C8" s="122"/>
      <c r="D8" s="140"/>
      <c r="E8" s="7" t="s">
        <v>38</v>
      </c>
      <c r="F8" s="7" t="s">
        <v>39</v>
      </c>
      <c r="G8" s="7" t="s">
        <v>40</v>
      </c>
      <c r="H8" s="1" t="s">
        <v>41</v>
      </c>
      <c r="I8" s="1" t="s">
        <v>15</v>
      </c>
      <c r="J8" s="1" t="s">
        <v>16</v>
      </c>
      <c r="K8" s="1" t="s">
        <v>4</v>
      </c>
      <c r="L8" s="54" t="s">
        <v>17</v>
      </c>
      <c r="M8" s="1" t="s">
        <v>42</v>
      </c>
      <c r="N8" s="1" t="s">
        <v>43</v>
      </c>
      <c r="O8" s="1" t="s">
        <v>32</v>
      </c>
      <c r="P8" s="1" t="s">
        <v>43</v>
      </c>
      <c r="Q8" s="1" t="s">
        <v>44</v>
      </c>
      <c r="R8" s="1" t="s">
        <v>18</v>
      </c>
      <c r="S8" s="1" t="s">
        <v>45</v>
      </c>
      <c r="T8" s="2" t="s">
        <v>19</v>
      </c>
      <c r="U8" s="3" t="s">
        <v>46</v>
      </c>
      <c r="V8" s="3" t="s">
        <v>47</v>
      </c>
      <c r="W8" s="3" t="s">
        <v>48</v>
      </c>
      <c r="X8" s="55" t="s">
        <v>49</v>
      </c>
      <c r="Y8" s="3" t="s">
        <v>50</v>
      </c>
      <c r="Z8" s="3" t="s">
        <v>51</v>
      </c>
      <c r="AA8" s="3" t="s">
        <v>52</v>
      </c>
      <c r="AB8" s="4" t="s">
        <v>53</v>
      </c>
      <c r="AC8" s="4" t="s">
        <v>50</v>
      </c>
      <c r="AD8" s="3" t="s">
        <v>54</v>
      </c>
      <c r="AE8" s="3" t="s">
        <v>55</v>
      </c>
      <c r="AF8" s="42" t="s">
        <v>56</v>
      </c>
      <c r="AG8" s="4" t="s">
        <v>57</v>
      </c>
      <c r="AH8" s="42" t="s">
        <v>58</v>
      </c>
      <c r="AI8" s="42" t="s">
        <v>59</v>
      </c>
      <c r="AJ8" s="42" t="s">
        <v>44</v>
      </c>
      <c r="AK8" s="42" t="s">
        <v>60</v>
      </c>
      <c r="AL8" s="42" t="s">
        <v>45</v>
      </c>
      <c r="AM8" s="42" t="s">
        <v>61</v>
      </c>
      <c r="AN8" s="42" t="s">
        <v>62</v>
      </c>
      <c r="AO8" s="4" t="s">
        <v>50</v>
      </c>
      <c r="AP8" s="4" t="s">
        <v>63</v>
      </c>
      <c r="AQ8" s="4" t="s">
        <v>64</v>
      </c>
    </row>
    <row r="9" spans="1:44" ht="39.75" customHeight="1" thickBot="1" thickTop="1">
      <c r="A9" s="61" t="s">
        <v>69</v>
      </c>
      <c r="B9" s="62">
        <v>605</v>
      </c>
      <c r="C9" s="62">
        <v>249</v>
      </c>
      <c r="D9" s="62">
        <v>96</v>
      </c>
      <c r="E9" s="62">
        <v>3</v>
      </c>
      <c r="F9" s="62">
        <v>2</v>
      </c>
      <c r="G9" s="62">
        <v>0</v>
      </c>
      <c r="H9" s="62">
        <v>4</v>
      </c>
      <c r="I9" s="62">
        <v>1</v>
      </c>
      <c r="J9" s="62">
        <v>0</v>
      </c>
      <c r="K9" s="62">
        <v>0</v>
      </c>
      <c r="L9" s="62">
        <v>0</v>
      </c>
      <c r="M9" s="62">
        <f>1953+25229</f>
        <v>27182</v>
      </c>
      <c r="N9" s="62">
        <f>249+2305</f>
        <v>2554</v>
      </c>
      <c r="O9" s="62">
        <f>53+2761</f>
        <v>2814</v>
      </c>
      <c r="P9" s="62">
        <f>276</f>
        <v>276</v>
      </c>
      <c r="Q9" s="62">
        <f>2+295</f>
        <v>297</v>
      </c>
      <c r="R9" s="62">
        <f>33+702</f>
        <v>735</v>
      </c>
      <c r="S9" s="62">
        <f>42+1678</f>
        <v>1720</v>
      </c>
      <c r="T9" s="62">
        <f>26+899</f>
        <v>925</v>
      </c>
      <c r="U9" s="63">
        <v>530</v>
      </c>
      <c r="V9" s="62">
        <v>3</v>
      </c>
      <c r="W9" s="62">
        <v>28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4">
        <v>0</v>
      </c>
      <c r="AE9" s="62">
        <v>0</v>
      </c>
      <c r="AF9" s="62">
        <v>0</v>
      </c>
      <c r="AG9" s="62">
        <v>66</v>
      </c>
      <c r="AH9" s="62">
        <v>14</v>
      </c>
      <c r="AI9" s="62">
        <v>3439</v>
      </c>
      <c r="AJ9" s="62">
        <v>9</v>
      </c>
      <c r="AK9" s="62">
        <v>59</v>
      </c>
      <c r="AL9" s="62">
        <v>16</v>
      </c>
      <c r="AM9" s="62">
        <v>7</v>
      </c>
      <c r="AN9" s="62">
        <v>0</v>
      </c>
      <c r="AO9" s="62">
        <v>11</v>
      </c>
      <c r="AP9" s="62">
        <v>5</v>
      </c>
      <c r="AQ9" s="64">
        <v>0</v>
      </c>
      <c r="AR9" s="56"/>
    </row>
    <row r="10" spans="1:44" ht="39.75" customHeight="1" thickBot="1" thickTop="1">
      <c r="A10" s="61" t="s">
        <v>70</v>
      </c>
      <c r="B10" s="57">
        <f>1923+16</f>
        <v>1939</v>
      </c>
      <c r="C10" s="57">
        <v>581</v>
      </c>
      <c r="D10" s="57">
        <v>330</v>
      </c>
      <c r="E10" s="57">
        <v>11</v>
      </c>
      <c r="F10" s="57">
        <v>4</v>
      </c>
      <c r="G10" s="57">
        <v>5</v>
      </c>
      <c r="H10" s="57">
        <v>7</v>
      </c>
      <c r="I10" s="57">
        <v>6</v>
      </c>
      <c r="J10" s="57">
        <v>8</v>
      </c>
      <c r="K10" s="57">
        <v>9</v>
      </c>
      <c r="L10" s="57">
        <v>5</v>
      </c>
      <c r="M10" s="57">
        <f>5710+90777</f>
        <v>96487</v>
      </c>
      <c r="N10" s="57">
        <f>278+5531</f>
        <v>5809</v>
      </c>
      <c r="O10" s="57">
        <f>488+6463</f>
        <v>6951</v>
      </c>
      <c r="P10" s="57">
        <f>75+1355</f>
        <v>1430</v>
      </c>
      <c r="Q10" s="57">
        <f>51+1264</f>
        <v>1315</v>
      </c>
      <c r="R10" s="57">
        <f>122+4111</f>
        <v>4233</v>
      </c>
      <c r="S10" s="57">
        <f>468+2377</f>
        <v>2845</v>
      </c>
      <c r="T10" s="57">
        <f>84+776</f>
        <v>860</v>
      </c>
      <c r="U10" s="57">
        <v>1290</v>
      </c>
      <c r="V10" s="57">
        <v>317</v>
      </c>
      <c r="W10" s="57">
        <v>33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65">
        <v>45</v>
      </c>
      <c r="AD10" s="57">
        <v>0</v>
      </c>
      <c r="AE10" s="57">
        <v>0</v>
      </c>
      <c r="AF10" s="57">
        <v>0</v>
      </c>
      <c r="AG10" s="57">
        <v>155</v>
      </c>
      <c r="AH10" s="57">
        <v>6</v>
      </c>
      <c r="AI10" s="57">
        <v>1449</v>
      </c>
      <c r="AJ10" s="57">
        <v>17</v>
      </c>
      <c r="AK10" s="57">
        <v>15</v>
      </c>
      <c r="AL10" s="57">
        <v>0</v>
      </c>
      <c r="AM10" s="57">
        <v>1</v>
      </c>
      <c r="AN10" s="57">
        <v>2</v>
      </c>
      <c r="AO10" s="57">
        <v>6</v>
      </c>
      <c r="AP10" s="57">
        <v>6</v>
      </c>
      <c r="AQ10" s="66">
        <v>0</v>
      </c>
      <c r="AR10" s="56"/>
    </row>
    <row r="11" spans="1:43" ht="45" customHeight="1" thickBot="1" thickTop="1">
      <c r="A11" s="61" t="s">
        <v>71</v>
      </c>
      <c r="B11" s="57">
        <v>699</v>
      </c>
      <c r="C11" s="57">
        <v>176</v>
      </c>
      <c r="D11" s="57">
        <v>87</v>
      </c>
      <c r="E11" s="57">
        <v>8</v>
      </c>
      <c r="F11" s="57">
        <v>0</v>
      </c>
      <c r="G11" s="57">
        <v>12</v>
      </c>
      <c r="H11" s="57">
        <v>13</v>
      </c>
      <c r="I11" s="57">
        <v>2</v>
      </c>
      <c r="J11" s="57">
        <v>6</v>
      </c>
      <c r="K11" s="57">
        <v>4</v>
      </c>
      <c r="L11" s="57">
        <v>3</v>
      </c>
      <c r="M11" s="57">
        <f>628+18174</f>
        <v>18802</v>
      </c>
      <c r="N11" s="57">
        <f>183+11438</f>
        <v>11621</v>
      </c>
      <c r="O11" s="57">
        <f>29+1120</f>
        <v>1149</v>
      </c>
      <c r="P11" s="57">
        <f>767</f>
        <v>767</v>
      </c>
      <c r="Q11" s="57">
        <f>16+150</f>
        <v>166</v>
      </c>
      <c r="R11" s="57">
        <f>16+1003</f>
        <v>1019</v>
      </c>
      <c r="S11" s="57">
        <f>123</f>
        <v>123</v>
      </c>
      <c r="T11" s="57">
        <f>60</f>
        <v>60</v>
      </c>
      <c r="U11" s="57">
        <v>9688</v>
      </c>
      <c r="V11" s="57">
        <v>95</v>
      </c>
      <c r="W11" s="57">
        <v>682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65">
        <v>0</v>
      </c>
      <c r="AD11" s="57">
        <v>0</v>
      </c>
      <c r="AE11" s="57">
        <v>0</v>
      </c>
      <c r="AF11" s="57">
        <v>0</v>
      </c>
      <c r="AG11" s="57">
        <v>1</v>
      </c>
      <c r="AH11" s="57">
        <v>0</v>
      </c>
      <c r="AI11" s="57">
        <v>50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193</v>
      </c>
      <c r="AP11" s="57">
        <v>59</v>
      </c>
      <c r="AQ11" s="66">
        <v>0</v>
      </c>
    </row>
    <row r="12" spans="1:44" ht="45" customHeight="1" thickBot="1" thickTop="1">
      <c r="A12" s="61" t="s">
        <v>72</v>
      </c>
      <c r="B12" s="57">
        <v>43</v>
      </c>
      <c r="C12" s="57">
        <v>10</v>
      </c>
      <c r="D12" s="57">
        <v>6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f>72+562</f>
        <v>634</v>
      </c>
      <c r="N12" s="57">
        <f>40+277</f>
        <v>317</v>
      </c>
      <c r="O12" s="57">
        <f>21</f>
        <v>21</v>
      </c>
      <c r="P12" s="57">
        <v>2</v>
      </c>
      <c r="Q12" s="57">
        <v>0</v>
      </c>
      <c r="R12" s="57">
        <v>21</v>
      </c>
      <c r="S12" s="57">
        <v>0</v>
      </c>
      <c r="T12" s="57">
        <v>0</v>
      </c>
      <c r="U12" s="57">
        <v>494</v>
      </c>
      <c r="V12" s="57">
        <v>0</v>
      </c>
      <c r="W12" s="57">
        <v>37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117</v>
      </c>
      <c r="AP12" s="57">
        <v>11</v>
      </c>
      <c r="AQ12" s="66">
        <v>0</v>
      </c>
      <c r="AR12" s="67"/>
    </row>
    <row r="13" spans="1:44" ht="52.5" customHeight="1" thickBot="1" thickTop="1">
      <c r="A13" s="61" t="s">
        <v>73</v>
      </c>
      <c r="B13" s="57">
        <v>8</v>
      </c>
      <c r="C13" s="57">
        <v>4</v>
      </c>
      <c r="D13" s="57">
        <v>4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60</v>
      </c>
      <c r="N13" s="57">
        <v>60</v>
      </c>
      <c r="O13" s="57">
        <v>9</v>
      </c>
      <c r="P13" s="57">
        <v>9</v>
      </c>
      <c r="Q13" s="57">
        <v>0</v>
      </c>
      <c r="R13" s="57">
        <v>9</v>
      </c>
      <c r="S13" s="57">
        <v>0</v>
      </c>
      <c r="T13" s="57">
        <v>0</v>
      </c>
      <c r="U13" s="57">
        <v>150</v>
      </c>
      <c r="V13" s="57">
        <v>0</v>
      </c>
      <c r="W13" s="57">
        <v>5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21</v>
      </c>
      <c r="AH13" s="57">
        <v>1</v>
      </c>
      <c r="AI13" s="57">
        <v>21</v>
      </c>
      <c r="AJ13" s="57">
        <v>0</v>
      </c>
      <c r="AK13" s="57">
        <v>1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66">
        <v>0</v>
      </c>
      <c r="AR13" s="67"/>
    </row>
    <row r="14" spans="1:43" ht="39.75" customHeight="1" thickBot="1" thickTop="1">
      <c r="A14" s="61" t="s">
        <v>74</v>
      </c>
      <c r="B14" s="57">
        <v>425</v>
      </c>
      <c r="C14" s="57">
        <v>116</v>
      </c>
      <c r="D14" s="57">
        <v>73</v>
      </c>
      <c r="E14" s="57">
        <v>15</v>
      </c>
      <c r="F14" s="57">
        <v>1</v>
      </c>
      <c r="G14" s="57">
        <v>2</v>
      </c>
      <c r="H14" s="57">
        <v>0</v>
      </c>
      <c r="I14" s="57">
        <v>4</v>
      </c>
      <c r="J14" s="57">
        <v>0</v>
      </c>
      <c r="K14" s="57">
        <v>6</v>
      </c>
      <c r="L14" s="57">
        <v>0</v>
      </c>
      <c r="M14" s="57">
        <f>1531+200</f>
        <v>1731</v>
      </c>
      <c r="N14" s="57">
        <f>158</f>
        <v>158</v>
      </c>
      <c r="O14" s="57">
        <f>161+58</f>
        <v>219</v>
      </c>
      <c r="P14" s="57">
        <v>12</v>
      </c>
      <c r="Q14" s="57">
        <v>48</v>
      </c>
      <c r="R14" s="57">
        <f>76+25</f>
        <v>101</v>
      </c>
      <c r="S14" s="57">
        <f>70+45</f>
        <v>115</v>
      </c>
      <c r="T14" s="57">
        <v>9</v>
      </c>
      <c r="U14" s="57">
        <f>10475+30</f>
        <v>10505</v>
      </c>
      <c r="V14" s="57">
        <v>468</v>
      </c>
      <c r="W14" s="57">
        <v>962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3</v>
      </c>
      <c r="AH14" s="57">
        <v>0</v>
      </c>
      <c r="AI14" s="57">
        <v>15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f>319+35</f>
        <v>354</v>
      </c>
      <c r="AP14" s="57">
        <f>105+11</f>
        <v>116</v>
      </c>
      <c r="AQ14" s="66">
        <v>1</v>
      </c>
    </row>
    <row r="15" spans="1:44" ht="45" customHeight="1" thickBot="1" thickTop="1">
      <c r="A15" s="61" t="s">
        <v>75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66">
        <v>0</v>
      </c>
      <c r="AR15" s="67"/>
    </row>
    <row r="16" spans="1:43" ht="39.75" customHeight="1" thickBot="1" thickTop="1">
      <c r="A16" s="61" t="s">
        <v>76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68">
        <v>0</v>
      </c>
    </row>
    <row r="17" spans="1:79" ht="39.75" customHeight="1" thickBot="1" thickTop="1">
      <c r="A17" s="69" t="s">
        <v>3</v>
      </c>
      <c r="B17" s="70">
        <f aca="true" t="shared" si="0" ref="B17:AQ17">SUM(B9:B16)</f>
        <v>3719</v>
      </c>
      <c r="C17" s="71">
        <f t="shared" si="0"/>
        <v>1136</v>
      </c>
      <c r="D17" s="71">
        <f t="shared" si="0"/>
        <v>596</v>
      </c>
      <c r="E17" s="71">
        <f t="shared" si="0"/>
        <v>37</v>
      </c>
      <c r="F17" s="71">
        <f t="shared" si="0"/>
        <v>7</v>
      </c>
      <c r="G17" s="71">
        <f t="shared" si="0"/>
        <v>19</v>
      </c>
      <c r="H17" s="71">
        <f t="shared" si="0"/>
        <v>24</v>
      </c>
      <c r="I17" s="71">
        <f t="shared" si="0"/>
        <v>13</v>
      </c>
      <c r="J17" s="71">
        <f t="shared" si="0"/>
        <v>14</v>
      </c>
      <c r="K17" s="71">
        <f t="shared" si="0"/>
        <v>19</v>
      </c>
      <c r="L17" s="71">
        <f t="shared" si="0"/>
        <v>8</v>
      </c>
      <c r="M17" s="71">
        <f t="shared" si="0"/>
        <v>144896</v>
      </c>
      <c r="N17" s="71">
        <f t="shared" si="0"/>
        <v>20519</v>
      </c>
      <c r="O17" s="71">
        <f t="shared" si="0"/>
        <v>11163</v>
      </c>
      <c r="P17" s="71">
        <f t="shared" si="0"/>
        <v>2496</v>
      </c>
      <c r="Q17" s="71">
        <f t="shared" si="0"/>
        <v>1826</v>
      </c>
      <c r="R17" s="71">
        <f t="shared" si="0"/>
        <v>6118</v>
      </c>
      <c r="S17" s="71">
        <f t="shared" si="0"/>
        <v>4803</v>
      </c>
      <c r="T17" s="71">
        <f t="shared" si="0"/>
        <v>1854</v>
      </c>
      <c r="U17" s="71">
        <f t="shared" si="0"/>
        <v>22657</v>
      </c>
      <c r="V17" s="71">
        <f t="shared" si="0"/>
        <v>883</v>
      </c>
      <c r="W17" s="71">
        <f t="shared" si="0"/>
        <v>1747</v>
      </c>
      <c r="X17" s="71">
        <f t="shared" si="0"/>
        <v>0</v>
      </c>
      <c r="Y17" s="71">
        <f t="shared" si="0"/>
        <v>0</v>
      </c>
      <c r="Z17" s="71">
        <f t="shared" si="0"/>
        <v>0</v>
      </c>
      <c r="AA17" s="71">
        <f t="shared" si="0"/>
        <v>0</v>
      </c>
      <c r="AB17" s="71">
        <f t="shared" si="0"/>
        <v>0</v>
      </c>
      <c r="AC17" s="71">
        <f t="shared" si="0"/>
        <v>45</v>
      </c>
      <c r="AD17" s="71">
        <f t="shared" si="0"/>
        <v>0</v>
      </c>
      <c r="AE17" s="71">
        <f t="shared" si="0"/>
        <v>0</v>
      </c>
      <c r="AF17" s="71">
        <f t="shared" si="0"/>
        <v>0</v>
      </c>
      <c r="AG17" s="71">
        <f t="shared" si="0"/>
        <v>246</v>
      </c>
      <c r="AH17" s="71">
        <f t="shared" si="0"/>
        <v>21</v>
      </c>
      <c r="AI17" s="71">
        <f t="shared" si="0"/>
        <v>4974</v>
      </c>
      <c r="AJ17" s="71">
        <f t="shared" si="0"/>
        <v>26</v>
      </c>
      <c r="AK17" s="71">
        <f t="shared" si="0"/>
        <v>75</v>
      </c>
      <c r="AL17" s="71">
        <f t="shared" si="0"/>
        <v>16</v>
      </c>
      <c r="AM17" s="71">
        <f t="shared" si="0"/>
        <v>8</v>
      </c>
      <c r="AN17" s="71">
        <f t="shared" si="0"/>
        <v>2</v>
      </c>
      <c r="AO17" s="71">
        <f t="shared" si="0"/>
        <v>681</v>
      </c>
      <c r="AP17" s="71">
        <f t="shared" si="0"/>
        <v>197</v>
      </c>
      <c r="AQ17" s="72">
        <f t="shared" si="0"/>
        <v>1</v>
      </c>
      <c r="AR17" s="56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</row>
    <row r="18" spans="1:79" s="77" customFormat="1" ht="13.5" thickTop="1">
      <c r="A18" s="73"/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5"/>
      <c r="O18" s="7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6"/>
      <c r="AJ18" s="74"/>
      <c r="AK18" s="74"/>
      <c r="AL18" s="76"/>
      <c r="AM18" s="73"/>
      <c r="AN18" s="73"/>
      <c r="AO18" s="73"/>
      <c r="AP18" s="75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</row>
    <row r="19" ht="18">
      <c r="A19" s="78" t="s">
        <v>77</v>
      </c>
    </row>
    <row r="21" ht="15.75">
      <c r="A21" s="79" t="s">
        <v>9</v>
      </c>
    </row>
    <row r="22" spans="1:18" ht="14.25">
      <c r="A22" s="5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 t="s">
        <v>14</v>
      </c>
      <c r="L22" s="5"/>
      <c r="M22" s="5"/>
      <c r="N22" s="5"/>
      <c r="O22" s="5"/>
      <c r="P22" s="5"/>
      <c r="Q22" s="5"/>
      <c r="R22" s="5"/>
    </row>
    <row r="23" spans="1:18" ht="14.25">
      <c r="A23" s="5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 t="s">
        <v>12</v>
      </c>
      <c r="L23" s="5"/>
      <c r="M23" s="5"/>
      <c r="N23" s="5"/>
      <c r="O23" s="5"/>
      <c r="P23" s="5"/>
      <c r="Q23" s="5"/>
      <c r="R23" s="5"/>
    </row>
    <row r="24" spans="1:11" ht="14.25">
      <c r="A24" s="5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 t="s">
        <v>22</v>
      </c>
    </row>
    <row r="25" spans="1:18" ht="14.25">
      <c r="A25" s="5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 t="s">
        <v>20</v>
      </c>
      <c r="L25" s="5"/>
      <c r="M25" s="5"/>
      <c r="N25" s="5"/>
      <c r="O25" s="5"/>
      <c r="P25" s="5"/>
      <c r="Q25" s="5"/>
      <c r="R25" s="5"/>
    </row>
  </sheetData>
  <mergeCells count="14">
    <mergeCell ref="B7:B8"/>
    <mergeCell ref="C7:C8"/>
    <mergeCell ref="E7:G7"/>
    <mergeCell ref="D7:D8"/>
    <mergeCell ref="A2:AQ2"/>
    <mergeCell ref="AC7:AF7"/>
    <mergeCell ref="AG7:AN7"/>
    <mergeCell ref="AO7:AQ7"/>
    <mergeCell ref="A3:AQ3"/>
    <mergeCell ref="H7:L7"/>
    <mergeCell ref="X7:AB7"/>
    <mergeCell ref="A7:A8"/>
    <mergeCell ref="U7:W7"/>
    <mergeCell ref="M7:T7"/>
  </mergeCells>
  <printOptions horizontalCentered="1"/>
  <pageMargins left="0" right="0" top="0.5905511811023623" bottom="0.5905511811023623" header="0.5118110236220472" footer="0.5118110236220472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7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9.25390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6.2539062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5.125" style="0" customWidth="1"/>
    <col min="43" max="43" width="5.00390625" style="0" customWidth="1"/>
    <col min="44" max="44" width="5.75390625" style="0" customWidth="1"/>
  </cols>
  <sheetData>
    <row r="3" spans="1:44" ht="20.25">
      <c r="A3" s="108" t="s">
        <v>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</row>
    <row r="4" spans="1:44" ht="18">
      <c r="A4" s="120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</row>
    <row r="5" spans="3:44" ht="12.75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9:27" ht="12.75">
      <c r="S6" s="59"/>
      <c r="T6" s="59"/>
      <c r="U6" s="59"/>
      <c r="V6" s="59"/>
      <c r="W6" s="59"/>
      <c r="X6" s="59"/>
      <c r="Y6" s="59"/>
      <c r="Z6" s="59"/>
      <c r="AA6" s="59"/>
    </row>
    <row r="7" spans="6:44" ht="14.25" customHeight="1" thickBot="1"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</row>
    <row r="8" spans="1:44" ht="24" customHeight="1" thickBot="1" thickTop="1">
      <c r="A8" s="134"/>
      <c r="B8" s="80"/>
      <c r="C8" s="118" t="s">
        <v>1</v>
      </c>
      <c r="D8" s="121" t="s">
        <v>2</v>
      </c>
      <c r="E8" s="121" t="s">
        <v>35</v>
      </c>
      <c r="F8" s="112" t="s">
        <v>23</v>
      </c>
      <c r="G8" s="113"/>
      <c r="H8" s="114"/>
      <c r="I8" s="115" t="s">
        <v>5</v>
      </c>
      <c r="J8" s="112"/>
      <c r="K8" s="112"/>
      <c r="L8" s="112"/>
      <c r="M8" s="116"/>
      <c r="N8" s="124" t="s">
        <v>80</v>
      </c>
      <c r="O8" s="125"/>
      <c r="P8" s="125"/>
      <c r="Q8" s="125"/>
      <c r="R8" s="125"/>
      <c r="S8" s="125"/>
      <c r="T8" s="125"/>
      <c r="U8" s="126"/>
      <c r="V8" s="111" t="s">
        <v>6</v>
      </c>
      <c r="W8" s="123"/>
      <c r="X8" s="123"/>
      <c r="Y8" s="110" t="s">
        <v>34</v>
      </c>
      <c r="Z8" s="110"/>
      <c r="AA8" s="110"/>
      <c r="AB8" s="110"/>
      <c r="AC8" s="110"/>
      <c r="AD8" s="110" t="s">
        <v>7</v>
      </c>
      <c r="AE8" s="110"/>
      <c r="AF8" s="110"/>
      <c r="AG8" s="111"/>
      <c r="AH8" s="111" t="s">
        <v>36</v>
      </c>
      <c r="AI8" s="123"/>
      <c r="AJ8" s="123"/>
      <c r="AK8" s="123"/>
      <c r="AL8" s="123"/>
      <c r="AM8" s="123"/>
      <c r="AN8" s="123"/>
      <c r="AO8" s="117"/>
      <c r="AP8" s="117" t="s">
        <v>8</v>
      </c>
      <c r="AQ8" s="110"/>
      <c r="AR8" s="110"/>
    </row>
    <row r="9" spans="1:44" ht="129" customHeight="1" thickBot="1" thickTop="1">
      <c r="A9" s="81"/>
      <c r="B9" s="58"/>
      <c r="C9" s="119"/>
      <c r="D9" s="122"/>
      <c r="E9" s="122"/>
      <c r="F9" s="7" t="s">
        <v>38</v>
      </c>
      <c r="G9" s="7" t="s">
        <v>39</v>
      </c>
      <c r="H9" s="7" t="s">
        <v>40</v>
      </c>
      <c r="I9" s="1" t="s">
        <v>81</v>
      </c>
      <c r="J9" s="1" t="s">
        <v>15</v>
      </c>
      <c r="K9" s="1" t="s">
        <v>16</v>
      </c>
      <c r="L9" s="1" t="s">
        <v>4</v>
      </c>
      <c r="M9" s="7" t="s">
        <v>17</v>
      </c>
      <c r="N9" s="82" t="s">
        <v>82</v>
      </c>
      <c r="O9" s="1" t="s">
        <v>83</v>
      </c>
      <c r="P9" s="1" t="s">
        <v>32</v>
      </c>
      <c r="Q9" s="1" t="s">
        <v>83</v>
      </c>
      <c r="R9" s="1" t="s">
        <v>84</v>
      </c>
      <c r="S9" s="1" t="s">
        <v>18</v>
      </c>
      <c r="T9" s="1" t="s">
        <v>85</v>
      </c>
      <c r="U9" s="2" t="s">
        <v>19</v>
      </c>
      <c r="V9" s="3" t="s">
        <v>86</v>
      </c>
      <c r="W9" s="3" t="s">
        <v>87</v>
      </c>
      <c r="X9" s="3" t="s">
        <v>88</v>
      </c>
      <c r="Y9" s="83" t="s">
        <v>89</v>
      </c>
      <c r="Z9" s="3" t="s">
        <v>90</v>
      </c>
      <c r="AA9" s="3" t="s">
        <v>91</v>
      </c>
      <c r="AB9" s="3" t="s">
        <v>92</v>
      </c>
      <c r="AC9" s="42" t="s">
        <v>93</v>
      </c>
      <c r="AD9" s="84" t="s">
        <v>94</v>
      </c>
      <c r="AE9" s="3" t="s">
        <v>95</v>
      </c>
      <c r="AF9" s="3" t="s">
        <v>96</v>
      </c>
      <c r="AG9" s="85" t="s">
        <v>97</v>
      </c>
      <c r="AH9" s="4" t="s">
        <v>98</v>
      </c>
      <c r="AI9" s="3" t="s">
        <v>99</v>
      </c>
      <c r="AJ9" s="3" t="s">
        <v>100</v>
      </c>
      <c r="AK9" s="3" t="s">
        <v>84</v>
      </c>
      <c r="AL9" s="3" t="s">
        <v>101</v>
      </c>
      <c r="AM9" s="3" t="s">
        <v>85</v>
      </c>
      <c r="AN9" s="3" t="s">
        <v>102</v>
      </c>
      <c r="AO9" s="3" t="s">
        <v>103</v>
      </c>
      <c r="AP9" s="86" t="s">
        <v>104</v>
      </c>
      <c r="AQ9" s="87" t="s">
        <v>105</v>
      </c>
      <c r="AR9" s="87" t="s">
        <v>106</v>
      </c>
    </row>
    <row r="10" spans="1:44" ht="41.25" customHeight="1" thickBot="1" thickTop="1">
      <c r="A10" s="129" t="s">
        <v>107</v>
      </c>
      <c r="B10" s="88" t="s">
        <v>108</v>
      </c>
      <c r="C10" s="89">
        <v>164</v>
      </c>
      <c r="D10" s="62">
        <v>35</v>
      </c>
      <c r="E10" s="62">
        <v>10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90">
        <f>4721+6153</f>
        <v>10874</v>
      </c>
      <c r="O10" s="62">
        <f>15+277</f>
        <v>292</v>
      </c>
      <c r="P10" s="62">
        <f>127+76</f>
        <v>203</v>
      </c>
      <c r="Q10" s="62">
        <f>0</f>
        <v>0</v>
      </c>
      <c r="R10" s="62">
        <f>53+26</f>
        <v>79</v>
      </c>
      <c r="S10" s="62">
        <f>25+29</f>
        <v>54</v>
      </c>
      <c r="T10" s="62">
        <f>80+38</f>
        <v>118</v>
      </c>
      <c r="U10" s="62">
        <f>50</f>
        <v>50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68</v>
      </c>
      <c r="AI10" s="62">
        <v>14</v>
      </c>
      <c r="AJ10" s="62">
        <v>3441</v>
      </c>
      <c r="AK10" s="62">
        <v>19</v>
      </c>
      <c r="AL10" s="62">
        <v>65</v>
      </c>
      <c r="AM10" s="62">
        <v>16</v>
      </c>
      <c r="AN10" s="62">
        <v>6</v>
      </c>
      <c r="AO10" s="62">
        <v>0</v>
      </c>
      <c r="AP10" s="91">
        <v>4</v>
      </c>
      <c r="AQ10" s="62">
        <v>0</v>
      </c>
      <c r="AR10" s="92">
        <v>0</v>
      </c>
    </row>
    <row r="11" spans="1:44" s="33" customFormat="1" ht="41.25" customHeight="1" thickBot="1" thickTop="1">
      <c r="A11" s="130"/>
      <c r="B11" s="88" t="s">
        <v>109</v>
      </c>
      <c r="C11" s="93">
        <v>1812</v>
      </c>
      <c r="D11" s="94">
        <v>611</v>
      </c>
      <c r="E11" s="94">
        <v>313</v>
      </c>
      <c r="F11" s="94">
        <v>13</v>
      </c>
      <c r="G11" s="94">
        <v>3</v>
      </c>
      <c r="H11" s="94">
        <v>9</v>
      </c>
      <c r="I11" s="94">
        <v>14</v>
      </c>
      <c r="J11" s="94">
        <v>6</v>
      </c>
      <c r="K11" s="94">
        <v>5</v>
      </c>
      <c r="L11" s="94">
        <v>9</v>
      </c>
      <c r="M11" s="94">
        <v>5</v>
      </c>
      <c r="N11" s="94">
        <f>57550+24682+70</f>
        <v>82302</v>
      </c>
      <c r="O11" s="94">
        <f>4683+8318</f>
        <v>13001</v>
      </c>
      <c r="P11" s="94">
        <f>5039+2703</f>
        <v>7742</v>
      </c>
      <c r="Q11" s="94">
        <f>1379+631</f>
        <v>2010</v>
      </c>
      <c r="R11" s="94">
        <f>833+285</f>
        <v>1118</v>
      </c>
      <c r="S11" s="94">
        <f>3286+1149+4</f>
        <v>4439</v>
      </c>
      <c r="T11" s="94">
        <f>1885+1325</f>
        <v>3210</v>
      </c>
      <c r="U11" s="94">
        <f>635+610</f>
        <v>1245</v>
      </c>
      <c r="V11" s="94">
        <f>1209+57</f>
        <v>1266</v>
      </c>
      <c r="W11" s="94">
        <v>34</v>
      </c>
      <c r="X11" s="94">
        <v>98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103</v>
      </c>
      <c r="AI11" s="94">
        <v>3</v>
      </c>
      <c r="AJ11" s="94">
        <v>361</v>
      </c>
      <c r="AK11" s="94">
        <v>7</v>
      </c>
      <c r="AL11" s="94">
        <v>5</v>
      </c>
      <c r="AM11" s="94">
        <v>0</v>
      </c>
      <c r="AN11" s="94">
        <v>0</v>
      </c>
      <c r="AO11" s="94">
        <v>2</v>
      </c>
      <c r="AP11" s="94">
        <v>43</v>
      </c>
      <c r="AQ11" s="94">
        <v>7</v>
      </c>
      <c r="AR11" s="95">
        <v>0</v>
      </c>
    </row>
    <row r="12" spans="1:44" ht="44.25" customHeight="1" thickBot="1" thickTop="1">
      <c r="A12" s="130"/>
      <c r="B12" s="88" t="s">
        <v>110</v>
      </c>
      <c r="C12" s="96">
        <v>944</v>
      </c>
      <c r="D12" s="57">
        <v>279</v>
      </c>
      <c r="E12" s="57">
        <v>159</v>
      </c>
      <c r="F12" s="57">
        <v>6</v>
      </c>
      <c r="G12" s="57">
        <v>3</v>
      </c>
      <c r="H12" s="57">
        <v>0</v>
      </c>
      <c r="I12" s="57">
        <v>3</v>
      </c>
      <c r="J12" s="57">
        <v>1</v>
      </c>
      <c r="K12" s="57">
        <v>4</v>
      </c>
      <c r="L12" s="57">
        <v>3</v>
      </c>
      <c r="M12" s="57">
        <v>2</v>
      </c>
      <c r="N12" s="97">
        <f>34235+10776</f>
        <v>45011</v>
      </c>
      <c r="O12" s="57">
        <f>1083+2496</f>
        <v>3579</v>
      </c>
      <c r="P12" s="57">
        <f>1796+848</f>
        <v>2644</v>
      </c>
      <c r="Q12" s="57">
        <f>72+115</f>
        <v>187</v>
      </c>
      <c r="R12" s="57">
        <f>445+120</f>
        <v>565</v>
      </c>
      <c r="S12" s="57">
        <f>985+310</f>
        <v>1295</v>
      </c>
      <c r="T12" s="57">
        <f>827+492</f>
        <v>1319</v>
      </c>
      <c r="U12" s="57">
        <f>223+285</f>
        <v>508</v>
      </c>
      <c r="V12" s="57">
        <v>535</v>
      </c>
      <c r="W12" s="57">
        <v>1</v>
      </c>
      <c r="X12" s="57">
        <v>11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45</v>
      </c>
      <c r="AE12" s="57">
        <v>0</v>
      </c>
      <c r="AF12" s="57">
        <v>0</v>
      </c>
      <c r="AG12" s="57">
        <v>0</v>
      </c>
      <c r="AH12" s="57">
        <v>51</v>
      </c>
      <c r="AI12" s="57">
        <v>3</v>
      </c>
      <c r="AJ12" s="57">
        <v>1136</v>
      </c>
      <c r="AK12" s="57">
        <v>0</v>
      </c>
      <c r="AL12" s="57">
        <v>4</v>
      </c>
      <c r="AM12" s="57">
        <v>0</v>
      </c>
      <c r="AN12" s="57">
        <v>2</v>
      </c>
      <c r="AO12" s="57">
        <v>0</v>
      </c>
      <c r="AP12" s="57">
        <v>150</v>
      </c>
      <c r="AQ12" s="57">
        <v>27</v>
      </c>
      <c r="AR12" s="66">
        <v>0</v>
      </c>
    </row>
    <row r="13" spans="1:45" ht="36.75" customHeight="1" thickBot="1" thickTop="1">
      <c r="A13" s="130"/>
      <c r="B13" s="88" t="s">
        <v>111</v>
      </c>
      <c r="C13" s="96">
        <v>19</v>
      </c>
      <c r="D13" s="57">
        <v>6</v>
      </c>
      <c r="E13" s="57">
        <v>2</v>
      </c>
      <c r="F13" s="57">
        <v>0</v>
      </c>
      <c r="G13" s="57">
        <v>0</v>
      </c>
      <c r="H13" s="57">
        <v>1</v>
      </c>
      <c r="I13" s="57">
        <v>1</v>
      </c>
      <c r="J13" s="57">
        <v>0</v>
      </c>
      <c r="K13" s="57">
        <v>0</v>
      </c>
      <c r="L13" s="57">
        <v>0</v>
      </c>
      <c r="M13" s="57">
        <v>0</v>
      </c>
      <c r="N13" s="57">
        <f>606+124</f>
        <v>730</v>
      </c>
      <c r="O13" s="57">
        <v>106</v>
      </c>
      <c r="P13" s="57">
        <v>35</v>
      </c>
      <c r="Q13" s="57">
        <v>27</v>
      </c>
      <c r="R13" s="57">
        <v>5</v>
      </c>
      <c r="S13" s="57">
        <v>10</v>
      </c>
      <c r="T13" s="57">
        <v>0</v>
      </c>
      <c r="U13" s="57">
        <v>22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66">
        <v>0</v>
      </c>
      <c r="AS13" s="67"/>
    </row>
    <row r="14" spans="1:44" ht="33.75" customHeight="1" thickBot="1" thickTop="1">
      <c r="A14" s="130"/>
      <c r="B14" s="88" t="s">
        <v>112</v>
      </c>
      <c r="C14" s="9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66">
        <v>0</v>
      </c>
    </row>
    <row r="15" spans="1:44" ht="37.5" customHeight="1" thickBot="1" thickTop="1">
      <c r="A15" s="130"/>
      <c r="B15" s="88" t="s">
        <v>113</v>
      </c>
      <c r="C15" s="96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66">
        <v>0</v>
      </c>
    </row>
    <row r="16" spans="1:44" ht="35.25" customHeight="1" thickBot="1" thickTop="1">
      <c r="A16" s="131"/>
      <c r="B16" s="88" t="s">
        <v>114</v>
      </c>
      <c r="C16" s="96">
        <v>2</v>
      </c>
      <c r="D16" s="57">
        <v>1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120</v>
      </c>
      <c r="O16" s="57">
        <v>80</v>
      </c>
      <c r="P16" s="57">
        <v>42</v>
      </c>
      <c r="Q16" s="57">
        <v>0</v>
      </c>
      <c r="R16" s="57">
        <v>0</v>
      </c>
      <c r="S16" s="57">
        <v>0</v>
      </c>
      <c r="T16" s="57">
        <v>42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66">
        <v>0</v>
      </c>
    </row>
    <row r="17" spans="1:44" ht="37.5" customHeight="1" thickBot="1" thickTop="1">
      <c r="A17" s="132" t="s">
        <v>74</v>
      </c>
      <c r="B17" s="98" t="s">
        <v>109</v>
      </c>
      <c r="C17" s="96">
        <v>546</v>
      </c>
      <c r="D17" s="57">
        <v>142</v>
      </c>
      <c r="E17" s="57">
        <v>84</v>
      </c>
      <c r="F17" s="57">
        <v>13</v>
      </c>
      <c r="G17" s="57">
        <v>1</v>
      </c>
      <c r="H17" s="57">
        <v>5</v>
      </c>
      <c r="I17" s="57">
        <v>4</v>
      </c>
      <c r="J17" s="57">
        <v>5</v>
      </c>
      <c r="K17" s="57">
        <v>3</v>
      </c>
      <c r="L17" s="57">
        <v>6</v>
      </c>
      <c r="M17" s="57">
        <v>1</v>
      </c>
      <c r="N17" s="57">
        <f>1101+2468+40</f>
        <v>3609</v>
      </c>
      <c r="O17" s="57">
        <f>182+1653</f>
        <v>1835</v>
      </c>
      <c r="P17" s="57">
        <f>96+133+14</f>
        <v>243</v>
      </c>
      <c r="Q17" s="57">
        <f>87</f>
        <v>87</v>
      </c>
      <c r="R17" s="57">
        <v>38</v>
      </c>
      <c r="S17" s="57">
        <v>135</v>
      </c>
      <c r="T17" s="57">
        <v>73</v>
      </c>
      <c r="U17" s="57">
        <v>14</v>
      </c>
      <c r="V17" s="57">
        <f>14504+55</f>
        <v>14559</v>
      </c>
      <c r="W17" s="57">
        <v>551</v>
      </c>
      <c r="X17" s="57">
        <v>1146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1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206</v>
      </c>
      <c r="AQ17" s="57">
        <v>69</v>
      </c>
      <c r="AR17" s="66">
        <v>0</v>
      </c>
    </row>
    <row r="18" spans="1:44" ht="44.25" customHeight="1" thickBot="1" thickTop="1">
      <c r="A18" s="133"/>
      <c r="B18" s="98" t="s">
        <v>110</v>
      </c>
      <c r="C18" s="96">
        <v>232</v>
      </c>
      <c r="D18" s="57">
        <v>62</v>
      </c>
      <c r="E18" s="57">
        <v>28</v>
      </c>
      <c r="F18" s="57">
        <v>5</v>
      </c>
      <c r="G18" s="57">
        <v>0</v>
      </c>
      <c r="H18" s="57">
        <v>4</v>
      </c>
      <c r="I18" s="57">
        <v>2</v>
      </c>
      <c r="J18" s="57">
        <v>1</v>
      </c>
      <c r="K18" s="57">
        <v>2</v>
      </c>
      <c r="L18" s="57">
        <v>1</v>
      </c>
      <c r="M18" s="57">
        <v>0</v>
      </c>
      <c r="N18" s="57">
        <f>365+1885</f>
        <v>2250</v>
      </c>
      <c r="O18" s="57">
        <f>127+1499</f>
        <v>1626</v>
      </c>
      <c r="P18" s="57">
        <f>46+208</f>
        <v>254</v>
      </c>
      <c r="Q18" s="57">
        <f>185</f>
        <v>185</v>
      </c>
      <c r="R18" s="57">
        <f>21</f>
        <v>21</v>
      </c>
      <c r="S18" s="57">
        <v>185</v>
      </c>
      <c r="T18" s="57">
        <v>41</v>
      </c>
      <c r="U18" s="57">
        <v>15</v>
      </c>
      <c r="V18" s="57">
        <v>6297</v>
      </c>
      <c r="W18" s="57">
        <v>297</v>
      </c>
      <c r="X18" s="57">
        <v>492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23</v>
      </c>
      <c r="AI18" s="57">
        <v>1</v>
      </c>
      <c r="AJ18" s="57">
        <v>36</v>
      </c>
      <c r="AK18" s="57">
        <v>0</v>
      </c>
      <c r="AL18" s="57">
        <v>1</v>
      </c>
      <c r="AM18" s="57">
        <v>0</v>
      </c>
      <c r="AN18" s="57">
        <v>0</v>
      </c>
      <c r="AO18" s="57">
        <v>0</v>
      </c>
      <c r="AP18" s="57">
        <v>278</v>
      </c>
      <c r="AQ18" s="57">
        <v>94</v>
      </c>
      <c r="AR18" s="66">
        <v>1</v>
      </c>
    </row>
    <row r="19" spans="1:44" ht="53.25" customHeight="1" thickBot="1" thickTop="1">
      <c r="A19" s="127" t="s">
        <v>115</v>
      </c>
      <c r="B19" s="99" t="s">
        <v>116</v>
      </c>
      <c r="C19" s="96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66">
        <v>0</v>
      </c>
    </row>
    <row r="20" spans="1:44" ht="70.5" customHeight="1" thickBot="1" thickTop="1">
      <c r="A20" s="128"/>
      <c r="B20" s="100" t="s">
        <v>117</v>
      </c>
      <c r="C20" s="101">
        <v>0</v>
      </c>
      <c r="D20" s="57">
        <v>0</v>
      </c>
      <c r="E20" s="57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103">
        <v>0</v>
      </c>
    </row>
    <row r="21" spans="2:44" ht="49.5" customHeight="1" thickBot="1" thickTop="1">
      <c r="B21" s="104" t="s">
        <v>118</v>
      </c>
      <c r="C21" s="105">
        <f aca="true" t="shared" si="0" ref="C21:AR21">SUM(C10:C20)</f>
        <v>3719</v>
      </c>
      <c r="D21" s="106">
        <f t="shared" si="0"/>
        <v>1136</v>
      </c>
      <c r="E21" s="106">
        <f t="shared" si="0"/>
        <v>596</v>
      </c>
      <c r="F21" s="106">
        <f t="shared" si="0"/>
        <v>37</v>
      </c>
      <c r="G21" s="106">
        <f t="shared" si="0"/>
        <v>7</v>
      </c>
      <c r="H21" s="106">
        <f t="shared" si="0"/>
        <v>19</v>
      </c>
      <c r="I21" s="106">
        <f t="shared" si="0"/>
        <v>24</v>
      </c>
      <c r="J21" s="106">
        <f t="shared" si="0"/>
        <v>13</v>
      </c>
      <c r="K21" s="106">
        <f t="shared" si="0"/>
        <v>14</v>
      </c>
      <c r="L21" s="106">
        <f t="shared" si="0"/>
        <v>19</v>
      </c>
      <c r="M21" s="106">
        <f t="shared" si="0"/>
        <v>8</v>
      </c>
      <c r="N21" s="106">
        <f t="shared" si="0"/>
        <v>144896</v>
      </c>
      <c r="O21" s="106">
        <f t="shared" si="0"/>
        <v>20519</v>
      </c>
      <c r="P21" s="106">
        <f t="shared" si="0"/>
        <v>11163</v>
      </c>
      <c r="Q21" s="106">
        <f t="shared" si="0"/>
        <v>2496</v>
      </c>
      <c r="R21" s="106">
        <f t="shared" si="0"/>
        <v>1826</v>
      </c>
      <c r="S21" s="106">
        <f t="shared" si="0"/>
        <v>6118</v>
      </c>
      <c r="T21" s="106">
        <f t="shared" si="0"/>
        <v>4803</v>
      </c>
      <c r="U21" s="106">
        <f t="shared" si="0"/>
        <v>1854</v>
      </c>
      <c r="V21" s="106">
        <f t="shared" si="0"/>
        <v>22657</v>
      </c>
      <c r="W21" s="106">
        <f t="shared" si="0"/>
        <v>883</v>
      </c>
      <c r="X21" s="106">
        <f t="shared" si="0"/>
        <v>1747</v>
      </c>
      <c r="Y21" s="106">
        <f t="shared" si="0"/>
        <v>0</v>
      </c>
      <c r="Z21" s="106">
        <f t="shared" si="0"/>
        <v>0</v>
      </c>
      <c r="AA21" s="106">
        <f t="shared" si="0"/>
        <v>0</v>
      </c>
      <c r="AB21" s="106">
        <f t="shared" si="0"/>
        <v>0</v>
      </c>
      <c r="AC21" s="106">
        <f t="shared" si="0"/>
        <v>0</v>
      </c>
      <c r="AD21" s="106">
        <f t="shared" si="0"/>
        <v>45</v>
      </c>
      <c r="AE21" s="106">
        <f t="shared" si="0"/>
        <v>0</v>
      </c>
      <c r="AF21" s="106">
        <f t="shared" si="0"/>
        <v>0</v>
      </c>
      <c r="AG21" s="106">
        <f t="shared" si="0"/>
        <v>0</v>
      </c>
      <c r="AH21" s="106">
        <f t="shared" si="0"/>
        <v>246</v>
      </c>
      <c r="AI21" s="106">
        <f t="shared" si="0"/>
        <v>21</v>
      </c>
      <c r="AJ21" s="106">
        <f t="shared" si="0"/>
        <v>4974</v>
      </c>
      <c r="AK21" s="106">
        <f t="shared" si="0"/>
        <v>26</v>
      </c>
      <c r="AL21" s="106">
        <f t="shared" si="0"/>
        <v>75</v>
      </c>
      <c r="AM21" s="106">
        <f t="shared" si="0"/>
        <v>16</v>
      </c>
      <c r="AN21" s="106">
        <f t="shared" si="0"/>
        <v>8</v>
      </c>
      <c r="AO21" s="106">
        <f t="shared" si="0"/>
        <v>2</v>
      </c>
      <c r="AP21" s="106">
        <f t="shared" si="0"/>
        <v>681</v>
      </c>
      <c r="AQ21" s="106">
        <f t="shared" si="0"/>
        <v>197</v>
      </c>
      <c r="AR21" s="107">
        <f t="shared" si="0"/>
        <v>1</v>
      </c>
    </row>
    <row r="22" spans="17:43" ht="13.5" thickTop="1">
      <c r="Q22" t="s">
        <v>119</v>
      </c>
      <c r="V22" s="74"/>
      <c r="AH22" s="74"/>
      <c r="AI22" s="74"/>
      <c r="AK22" s="74"/>
      <c r="AQ22" s="74"/>
    </row>
    <row r="23" ht="15.75">
      <c r="C23" s="79" t="s">
        <v>9</v>
      </c>
    </row>
    <row r="24" spans="3:45" ht="14.25">
      <c r="C24" s="5" t="s">
        <v>11</v>
      </c>
      <c r="D24" s="5"/>
      <c r="E24" s="5"/>
      <c r="F24" s="5"/>
      <c r="G24" s="5"/>
      <c r="H24" s="5"/>
      <c r="I24" s="5"/>
      <c r="J24" s="5"/>
      <c r="K24" s="5"/>
      <c r="L24" s="5"/>
      <c r="M24" s="5" t="s">
        <v>14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3:45" ht="14.25">
      <c r="C25" s="5" t="s">
        <v>10</v>
      </c>
      <c r="D25" s="5"/>
      <c r="E25" s="5"/>
      <c r="F25" s="5"/>
      <c r="G25" s="5"/>
      <c r="H25" s="5"/>
      <c r="I25" s="5"/>
      <c r="J25" s="5"/>
      <c r="K25" s="5"/>
      <c r="L25" s="5"/>
      <c r="M25" s="5" t="s">
        <v>12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3:45" ht="14.25">
      <c r="C26" s="5" t="s">
        <v>13</v>
      </c>
      <c r="D26" s="5"/>
      <c r="E26" s="5"/>
      <c r="F26" s="5"/>
      <c r="G26" s="5"/>
      <c r="H26" s="5"/>
      <c r="I26" s="5"/>
      <c r="J26" s="5"/>
      <c r="K26" s="5"/>
      <c r="L26" s="5"/>
      <c r="M26" s="5" t="s">
        <v>22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3:45" ht="14.25">
      <c r="C27" s="5" t="s">
        <v>21</v>
      </c>
      <c r="D27" s="5"/>
      <c r="E27" s="5"/>
      <c r="F27" s="5"/>
      <c r="G27" s="5"/>
      <c r="H27" s="5"/>
      <c r="I27" s="5"/>
      <c r="J27" s="5"/>
      <c r="K27" s="5"/>
      <c r="L27" s="5"/>
      <c r="M27" s="5" t="s">
        <v>20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</sheetData>
  <mergeCells count="17">
    <mergeCell ref="N8:U8"/>
    <mergeCell ref="V8:X8"/>
    <mergeCell ref="A19:A20"/>
    <mergeCell ref="A10:A16"/>
    <mergeCell ref="A17:A18"/>
    <mergeCell ref="A8:B9"/>
    <mergeCell ref="E8:E9"/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Y8:AC8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</cp:lastModifiedBy>
  <cp:lastPrinted>2008-12-02T14:22:13Z</cp:lastPrinted>
  <dcterms:created xsi:type="dcterms:W3CDTF">1997-01-24T11:07:25Z</dcterms:created>
  <dcterms:modified xsi:type="dcterms:W3CDTF">2008-12-08T08:29:34Z</dcterms:modified>
  <cp:category/>
  <cp:version/>
  <cp:contentType/>
  <cp:contentStatus/>
</cp:coreProperties>
</file>